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68" yWindow="96" windowWidth="6132" windowHeight="7176" firstSheet="4" activeTab="8"/>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1,2" sheetId="8" r:id="rId8"/>
    <sheet name="Приложение 8-3" sheetId="9" r:id="rId9"/>
    <sheet name="Приложение 9" sheetId="10" r:id="rId10"/>
  </sheets>
  <definedNames>
    <definedName name="_xlnm.Print_Titles" localSheetId="0">'Приложение 1'!$9:$9</definedName>
    <definedName name="_xlnm.Print_Titles" localSheetId="2">'Приложение 3'!$16:$17</definedName>
    <definedName name="_xlnm.Print_Titles" localSheetId="3">'приложение 4'!$12:$13</definedName>
    <definedName name="_xlnm.Print_Titles" localSheetId="4">'Приложение 5'!$8:$8</definedName>
    <definedName name="_xlnm.Print_Area" localSheetId="1">'Приложение 2'!$A$1:$D$123</definedName>
    <definedName name="_xlnm.Print_Area" localSheetId="2">'Приложение 3'!$A$1:$J$961</definedName>
    <definedName name="_xlnm.Print_Area" localSheetId="3">'приложение 4'!$A$5:$L$986</definedName>
    <definedName name="_xlnm.Print_Area" localSheetId="4">'Приложение 5'!$A$1:$E$35</definedName>
    <definedName name="_xlnm.Print_Area" localSheetId="5">'Приложение 6'!$A$1:$H$17</definedName>
    <definedName name="_xlnm.Print_Area" localSheetId="8">'Приложение 8-3'!$A$1:$R$38</definedName>
    <definedName name="_xlnm.Print_Area" localSheetId="9">'Приложение 9'!$A$1:$J$69</definedName>
  </definedNames>
  <calcPr calcMode="manual" fullCalcOnLoad="1"/>
</workbook>
</file>

<file path=xl/comments3.xml><?xml version="1.0" encoding="utf-8"?>
<comments xmlns="http://schemas.openxmlformats.org/spreadsheetml/2006/main">
  <authors>
    <author>Nikolaeva</author>
    <author>Bayrakov</author>
  </authors>
  <commentList>
    <comment ref="G309" authorId="0">
      <text>
        <r>
          <rPr>
            <b/>
            <sz val="8"/>
            <rFont val="Tahoma"/>
            <family val="2"/>
          </rPr>
          <t>Nikolaeva:</t>
        </r>
        <r>
          <rPr>
            <sz val="8"/>
            <rFont val="Tahoma"/>
            <family val="2"/>
          </rPr>
          <t xml:space="preserve">
ВКД-10120; ливневка 3000
</t>
        </r>
      </text>
    </comment>
    <comment ref="G631" authorId="1">
      <text>
        <r>
          <rPr>
            <b/>
            <sz val="8"/>
            <rFont val="Tahoma"/>
            <family val="2"/>
          </rPr>
          <t>Содержание памятников</t>
        </r>
      </text>
    </comment>
    <comment ref="H309" authorId="0">
      <text>
        <r>
          <rPr>
            <b/>
            <sz val="8"/>
            <rFont val="Tahoma"/>
            <family val="2"/>
          </rPr>
          <t>Nikolaeva:</t>
        </r>
        <r>
          <rPr>
            <sz val="8"/>
            <rFont val="Tahoma"/>
            <family val="2"/>
          </rPr>
          <t xml:space="preserve">
ВКД-10120; ливневка 3000
</t>
        </r>
      </text>
    </comment>
    <comment ref="H631" authorId="1">
      <text>
        <r>
          <rPr>
            <b/>
            <sz val="8"/>
            <rFont val="Tahoma"/>
            <family val="2"/>
          </rPr>
          <t>Содержание памятников</t>
        </r>
      </text>
    </comment>
    <comment ref="F309" authorId="0">
      <text>
        <r>
          <rPr>
            <b/>
            <sz val="8"/>
            <rFont val="Tahoma"/>
            <family val="2"/>
          </rPr>
          <t>Nikolaeva:</t>
        </r>
        <r>
          <rPr>
            <sz val="8"/>
            <rFont val="Tahoma"/>
            <family val="2"/>
          </rPr>
          <t xml:space="preserve">
ВКД-10120; ливневка 3000
</t>
        </r>
      </text>
    </comment>
    <comment ref="F631" authorId="1">
      <text>
        <r>
          <rPr>
            <b/>
            <sz val="8"/>
            <rFont val="Tahoma"/>
            <family val="2"/>
          </rPr>
          <t>Содержание памятников</t>
        </r>
      </text>
    </comment>
  </commentList>
</comments>
</file>

<file path=xl/comments4.xml><?xml version="1.0" encoding="utf-8"?>
<comments xmlns="http://schemas.openxmlformats.org/spreadsheetml/2006/main">
  <authors>
    <author>Bayrakov</author>
    <author>Nikolaeva</author>
  </authors>
  <commentList>
    <comment ref="H420" authorId="0">
      <text>
        <r>
          <rPr>
            <b/>
            <sz val="8"/>
            <rFont val="Tahoma"/>
            <family val="2"/>
          </rPr>
          <t>Содержание памятников</t>
        </r>
      </text>
    </comment>
    <comment ref="H733" authorId="1">
      <text>
        <r>
          <rPr>
            <b/>
            <sz val="8"/>
            <rFont val="Tahoma"/>
            <family val="2"/>
          </rPr>
          <t>Nikolaeva:</t>
        </r>
        <r>
          <rPr>
            <sz val="8"/>
            <rFont val="Tahoma"/>
            <family val="2"/>
          </rPr>
          <t xml:space="preserve">
ВКД-10120; ливневка 3000
</t>
        </r>
      </text>
    </comment>
    <comment ref="G733" authorId="1">
      <text>
        <r>
          <rPr>
            <b/>
            <sz val="8"/>
            <rFont val="Tahoma"/>
            <family val="2"/>
          </rPr>
          <t>Nikolaeva:</t>
        </r>
        <r>
          <rPr>
            <sz val="8"/>
            <rFont val="Tahoma"/>
            <family val="2"/>
          </rPr>
          <t xml:space="preserve">
ВКД-10120; ливневка 3000
</t>
        </r>
      </text>
    </comment>
    <comment ref="J733" authorId="1">
      <text>
        <r>
          <rPr>
            <b/>
            <sz val="8"/>
            <rFont val="Tahoma"/>
            <family val="2"/>
          </rPr>
          <t>Nikolaeva:</t>
        </r>
        <r>
          <rPr>
            <sz val="8"/>
            <rFont val="Tahoma"/>
            <family val="2"/>
          </rPr>
          <t xml:space="preserve">
ВКД-10120; ливневка 3000
</t>
        </r>
      </text>
    </comment>
    <comment ref="G420" authorId="0">
      <text>
        <r>
          <rPr>
            <b/>
            <sz val="8"/>
            <rFont val="Tahoma"/>
            <family val="2"/>
          </rPr>
          <t>Содержание памятников</t>
        </r>
      </text>
    </comment>
    <comment ref="J420" authorId="0">
      <text>
        <r>
          <rPr>
            <b/>
            <sz val="8"/>
            <rFont val="Tahoma"/>
            <family val="2"/>
          </rPr>
          <t>Содержание памятников</t>
        </r>
      </text>
    </comment>
  </commentList>
</comments>
</file>

<file path=xl/comments5.xml><?xml version="1.0" encoding="utf-8"?>
<comments xmlns="http://schemas.openxmlformats.org/spreadsheetml/2006/main">
  <authors>
    <author>Nikolaeva</author>
  </authors>
  <commentList>
    <comment ref="C19" authorId="0">
      <text>
        <r>
          <rPr>
            <b/>
            <sz val="8"/>
            <rFont val="Tahoma"/>
            <family val="0"/>
          </rPr>
          <t>Nikolaeva:</t>
        </r>
        <r>
          <rPr>
            <sz val="8"/>
            <rFont val="Tahoma"/>
            <family val="0"/>
          </rPr>
          <t xml:space="preserve">
Статья 38</t>
        </r>
      </text>
    </comment>
  </commentList>
</comments>
</file>

<file path=xl/sharedStrings.xml><?xml version="1.0" encoding="utf-8"?>
<sst xmlns="http://schemas.openxmlformats.org/spreadsheetml/2006/main" count="11310" uniqueCount="1500">
  <si>
    <t>Целевая субсидия на капитальный и текущий ремонт, приобретение мебели, материалов, оборудования и основных средств, противопожарные мероприятия, погашение кредиторской задолженности, технологическое присоединение, установка домофона, приобретение комплектующих изделий для АТС,  поставка штор для физиотерапевтических кабинок для амбулатории "Подмосковье" МБУЗ "ДЦГБ", поставка физиотерапевтических кабинок (металлополимерные каркасы из труб и экраны на батареи для физиотерапевтических кабинок) для амбулатории "Подмосковье" МБУЗ "ДЦГБ"</t>
  </si>
  <si>
    <t>Целевая субсидия на изготовление информационных стендов по диспансеризации</t>
  </si>
  <si>
    <t>Целевая субсидия на разработку проектной документации на капитальный ремонт системы вентиляции</t>
  </si>
  <si>
    <t>Целевая субсидия на разработку ПСД на капитальный ремонт входной группы поликлиники "Заря Подмосковья" МБУЗ "ДЦГБ"</t>
  </si>
  <si>
    <t>01 1 9112</t>
  </si>
  <si>
    <t>01 2 9122</t>
  </si>
  <si>
    <t>Целевая субсидия на капитальный и текущий ремонт, приобретение мебели, материалов, оборудования и основных средств, противопожарные мероприятия, погашение кредиторской задолженности, технологическое присоединение</t>
  </si>
  <si>
    <t>01 2 9123</t>
  </si>
  <si>
    <t>Подпрограмма "Обеспечение деятельности управления здравоохранения городского округа Домодедово на 2014-2016 годы"</t>
  </si>
  <si>
    <t>01 4 0000</t>
  </si>
  <si>
    <t>Организация оказания медицинской помощи на территории муниципальных образований (аппарат)</t>
  </si>
  <si>
    <t>01 4 6207</t>
  </si>
  <si>
    <t>01 4 9204</t>
  </si>
  <si>
    <t>01 4 9295</t>
  </si>
  <si>
    <t>Обеспечение деятельности подведомственных учреждений (МБУЗ "ЦОУЗ")</t>
  </si>
  <si>
    <t>01 4 9901</t>
  </si>
  <si>
    <t>Муниципальная программа "Социальная защита населения городского округа Домодедово на 2014-2016 годы"</t>
  </si>
  <si>
    <t>04 0 0000</t>
  </si>
  <si>
    <t>Подпрограмма "Социальная поддержка граждан пожилого возраста, ветеранов, инвалидов и других категорий граждан городского округа Домодедово на 2014-2016 годы"</t>
  </si>
  <si>
    <t>04 1 0000</t>
  </si>
  <si>
    <t>04 1 2101</t>
  </si>
  <si>
    <t>Закупка товаров,работ и услуг для государственных (муниципальных) нужд</t>
  </si>
  <si>
    <t>Иные закупки товаров, работ и услуг для обеспечения государственных (муниципальных) нужд</t>
  </si>
  <si>
    <t>313</t>
  </si>
  <si>
    <t>03 2 7101</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</si>
  <si>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</si>
  <si>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04 1 2324</t>
  </si>
  <si>
    <t>Оплата жилищно - коммунальных услуг, разницы в тарифах по электрической энергии и природному газу отдельным категориям граждан*</t>
  </si>
  <si>
    <t>04 1 2603</t>
  </si>
  <si>
    <t>04 1 2604</t>
  </si>
  <si>
    <t>04 1 2605</t>
  </si>
  <si>
    <t>04 1 2606</t>
  </si>
  <si>
    <t>04 1 2607</t>
  </si>
  <si>
    <t>04 1 2608</t>
  </si>
  <si>
    <t>04 1 2609</t>
  </si>
  <si>
    <t>04 1 2610</t>
  </si>
  <si>
    <t>04 1 2611</t>
  </si>
  <si>
    <t>04 1 2612</t>
  </si>
  <si>
    <t>04 1 2613</t>
  </si>
  <si>
    <t>04 1 2614</t>
  </si>
  <si>
    <t>04 1 2616</t>
  </si>
  <si>
    <t>04 1 2617</t>
  </si>
  <si>
    <t>04 1 2620</t>
  </si>
  <si>
    <t>04 1 2621</t>
  </si>
  <si>
    <t>Закупки товаров, работ и услуг для муниципальных нужд (Оплата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</si>
  <si>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04 1 2622</t>
  </si>
  <si>
    <t>Выплата единовременной материальной помощи инвалидам всех категорий в рамках проведения Дня инвалида*</t>
  </si>
  <si>
    <t>04 1 2623</t>
  </si>
  <si>
    <t>Выплата единовременной материальной помощи серебряному призеру XI Зимних Паралимпийских игр в Сочи - капитана сборной России по следж-хоккею*</t>
  </si>
  <si>
    <t>04 1 2624</t>
  </si>
  <si>
    <t>04 1 6141</t>
  </si>
  <si>
    <t>Подпрограмма "Формирование доступной среды на 2014-2016 годы"</t>
  </si>
  <si>
    <t>04 2 0000</t>
  </si>
  <si>
    <t>Приобретение технических средств реабилитации*</t>
  </si>
  <si>
    <t>04 2 2623</t>
  </si>
  <si>
    <t>Муниципальная программа "Жилище" городского округа Домодедово на 2014-2016 годы"</t>
  </si>
  <si>
    <t>09 0 0000</t>
  </si>
  <si>
    <t>Подпрограмма "Обеспечение жильем молодых семей городского округа Домодедово на 2014-2016 годы"</t>
  </si>
  <si>
    <t>09 1 0000</t>
  </si>
  <si>
    <t>09 1 2505</t>
  </si>
  <si>
    <t>Подпрограмма "Обеспечение жильем молодых семей" долгосрочной целевой программы Московской области "Жилище" на 2013-2015 годы за счет средств, перечисляемых из областного бюджета</t>
  </si>
  <si>
    <t>09 1 6020</t>
  </si>
  <si>
    <t>Подпрограмма "Обеспечение жильем молодых семей" федеральной целевой программы "Жилище" на 2011-2015 годы за счет средств, перечисляемых из федерального бюджета</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</si>
  <si>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</si>
  <si>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</si>
  <si>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</si>
  <si>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Муниципальная программа "Эффективная власть"</t>
  </si>
  <si>
    <t>12 9 1204</t>
  </si>
  <si>
    <t>Закупка товаров, работ и услуг для государственных (муниципальных) нужд</t>
  </si>
  <si>
    <t>Иные закупки  товаров, работ и услуг для муниципальных нужд</t>
  </si>
  <si>
    <t>Уплата налогов, сборов и иных платежей</t>
  </si>
  <si>
    <t>850</t>
  </si>
  <si>
    <t>12 9 1295</t>
  </si>
  <si>
    <t>Подпрограмма "Развитие информационно-коммуникационных технологий городского округа Домодедово на 2014-2016 годы"</t>
  </si>
  <si>
    <t>12 2 0000</t>
  </si>
  <si>
    <t>12 2 2204</t>
  </si>
  <si>
    <t>12 2 6142</t>
  </si>
  <si>
    <t>Подпрограмма "Обеспечение деятельности Администрации городского округа Домодедово на 2014-2016 годы"</t>
  </si>
  <si>
    <t>12 6 0000</t>
  </si>
  <si>
    <t>12 6 2200</t>
  </si>
  <si>
    <t>12 6 2204</t>
  </si>
  <si>
    <t>12 6 2295</t>
  </si>
  <si>
    <t>Центральный аппарат (отделы, обеспечивающие предоставление гражданам РФ, имеющим место жительства в Московской области, субсидий на оплату жилого помещения и коммунальных услуг и находящихся в составе Администрации или в структуре ее управомоченного учреждения)</t>
  </si>
  <si>
    <t>12 6 6142</t>
  </si>
  <si>
    <t>12 6 6068</t>
  </si>
  <si>
    <t>на 01 января 2015 года</t>
  </si>
  <si>
    <t>Приобретение подарков для поощрения сотрудников полиции Линейного управления МВД России в аэропорту Домодедово в связи с празднованием 95-летия транспортной полиции МВД России</t>
  </si>
  <si>
    <t>0309</t>
  </si>
  <si>
    <t>Приобретение призов и подарков победителям соревнований санитарных постов и постов РХБН среди муниципальных образовательных учреждений городского округа Домодедово</t>
  </si>
  <si>
    <t>0300</t>
  </si>
  <si>
    <t>Итого по разделу 0300</t>
  </si>
  <si>
    <t>0702</t>
  </si>
  <si>
    <t>241 20 4</t>
  </si>
  <si>
    <t>Приобретение ценного подарка для Муниципального автономного общеобразовательного учреждения Домодедовский лицей № 3 в связи с 75-летием со дня образования учреждения</t>
  </si>
  <si>
    <t>УО</t>
  </si>
  <si>
    <t>Приобретение подарка для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в связи с празднованием 50-летия со дня образования учреждения.</t>
  </si>
  <si>
    <t>0700</t>
  </si>
  <si>
    <t>Итого по разделу 0700</t>
  </si>
  <si>
    <t>Выплата единовременной материальной помощи членам семей погибших военнослужащих и инвалидам – участникам боевых действий, проживающим на территории городского округа Домодедово.</t>
  </si>
  <si>
    <t>Оказание материальной помощи Кондрашкину Владимиру Андреевичу, пострадавшему в результате пожара по адресу: г. Домодедово, мкр. Северный, ул. Комсомольская, д. 22</t>
  </si>
  <si>
    <t>Оказание материальной помощи Проликовой Наталье Борисовне, пострадавшей в результате пожара по адресу: г. Домодедово, мкр. Северный, ул. Комсомольская, д. 22</t>
  </si>
  <si>
    <t>Оказание материальной помощи Урманову Марсу Рустамовичу, пострадавшему в результате пожара по адресу: г. Домодедово, мкр. Северный, ул. Комсомольская, д. 22</t>
  </si>
  <si>
    <t>Изготовление памяток-листовок по информированию граждан о методах и действиях преступников при совершении различного рода преступлений</t>
  </si>
  <si>
    <t>0503</t>
  </si>
  <si>
    <t>226 10 4</t>
  </si>
  <si>
    <t>Разработка альбома проектных решений по формированию и благоустройству пешеходных улиц в г. Домодедово</t>
  </si>
  <si>
    <t>0500</t>
  </si>
  <si>
    <t>Итого по разделу 0500</t>
  </si>
  <si>
    <t xml:space="preserve">313 </t>
  </si>
  <si>
    <t>Выплата единовременной материальной помощи участникам Великой Отечественной войны, включая вдов участников ВОВ, проживающим на территории городского округа Домодедово, в связи с празднованием 69-летия Победы</t>
  </si>
  <si>
    <t>Оказание материальной помощи Николаеву Александру Алексеевичу, пострадавшему в результате пожара по адресу: г. Домодедово, мкр. Барыбино, д. Минаево, д. 17</t>
  </si>
  <si>
    <t>Оказание материальной помощи Драмарецкому Василию Васильевичу, пострадавшему в результате пожара по адресу: г. Домодедово, пос. Чурилково, д. 6, кв. 62</t>
  </si>
  <si>
    <t>Направление расходования средств</t>
  </si>
  <si>
    <t>Наименование получателя средств</t>
  </si>
  <si>
    <t>290 10 4</t>
  </si>
  <si>
    <t>0100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</si>
  <si>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</si>
  <si>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</si>
  <si>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</si>
  <si>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</si>
  <si>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</si>
  <si>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</si>
  <si>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</si>
  <si>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</si>
  <si>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</si>
  <si>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</si>
  <si>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</si>
  <si>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</si>
  <si>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</si>
  <si>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</si>
  <si>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1 05 04000 02 0000 110</t>
  </si>
  <si>
    <t>ГОРОДСКОГО ОКРУГА ДОМОДЕДОВО ЗА 2014 ГОД</t>
  </si>
  <si>
    <t>2 07 04050 04 0200 180</t>
  </si>
  <si>
    <t>2 07 04020 04 0200 180</t>
  </si>
  <si>
    <t xml:space="preserve">2 02 04061 04 0000 151 </t>
  </si>
  <si>
    <t>1 16 30000 01 6000 140</t>
  </si>
  <si>
    <t>1 16 25050 01 6000 140</t>
  </si>
  <si>
    <t>Подпрограмма "Обеспечение деятельности МБУ  "Многофункциональный центр предоставления государственных и муниципальных услуг" на 2014-2016 годы"</t>
  </si>
  <si>
    <t>12 Г 0000</t>
  </si>
  <si>
    <t>Предоставление субсидий бюджетным, автономным учреждениям и иным некоммерческим организациям</t>
  </si>
  <si>
    <t>12 Г 2203</t>
  </si>
  <si>
    <t xml:space="preserve">Субсидии бюджетным учреждениям, в том числе: </t>
  </si>
  <si>
    <t>Целевая субсидия на мероприятия по реализации проекта "Банк-Клиент"</t>
  </si>
  <si>
    <t>Целевая субсидия на приобретение основных средств, оргтехники</t>
  </si>
  <si>
    <t>Целевая субсидия на приобретение серверного оборудования</t>
  </si>
  <si>
    <t>Софинансирование расходов за счет средств субсидии из областного бюджета на организацию деятельности МБУ «МФЦ»  в рамках подпрограммы «Снижение административных барьеров,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государственной программы Московской области «Эффективная власть»</t>
  </si>
  <si>
    <t>12 Г 6065</t>
  </si>
  <si>
    <t>Целевая субсидия на приобретение оборудования для обеспечения деятельности МБУ "МФЦ"</t>
  </si>
  <si>
    <t>Подпрограмма "Обеспечение деятельности комитета по управлению имуществом Администрации городского округа Домодедово Московской области на 2014-2016 годы"</t>
  </si>
  <si>
    <t>12 Д 0000</t>
  </si>
  <si>
    <t>12 Д 2204</t>
  </si>
  <si>
    <t>12 Д 2295</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</si>
  <si>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2014-2016 годы"</t>
  </si>
  <si>
    <t>12 Ж 0000</t>
  </si>
  <si>
    <t>Капитальные вложения в объекты недвижимого имущества государственной (муниципальной) собственности</t>
  </si>
  <si>
    <t>460</t>
  </si>
  <si>
    <t>12 Ж 2002</t>
  </si>
  <si>
    <t>12 Ж 2203</t>
  </si>
  <si>
    <t>Иные закупки  товаров, работ и  услуг для муниципальных нужд, втом числе:</t>
  </si>
  <si>
    <t>Взнос в уставной капиталл муниципальных унитарных предприятий</t>
  </si>
  <si>
    <t>Муниципальная программа "Безопасность населения городского округа Домодедово на 2014-2016 годы"</t>
  </si>
  <si>
    <t>08 0 0000</t>
  </si>
  <si>
    <t>Подпрограмма "Снижение рисков и смягчение последствий чрезвычайных ситуаций природного и техногенного характера на территории городского округа Домодедово на 2014-2016 годы"</t>
  </si>
  <si>
    <t>08 2 0000</t>
  </si>
  <si>
    <t>08 2 2218</t>
  </si>
  <si>
    <t>08 2 2219</t>
  </si>
  <si>
    <t>Подпрограмма "Развитие и совершенствование систем оповещения и информирования населения городского округа Домодедово на 2014-2016 годы"</t>
  </si>
  <si>
    <t>08 3 0000</t>
  </si>
  <si>
    <t>Развитие и совершенствование комплексной системы оповещения населения при чрезвычайной ситуации</t>
  </si>
  <si>
    <t>08 3 2219</t>
  </si>
  <si>
    <t>Подпрограмма "Обеспечение мероприятий гражданской обороны на территории городского округа Домодедово на 2014-2016 годы"</t>
  </si>
  <si>
    <t>08 5 0000</t>
  </si>
  <si>
    <t>08 5 2219</t>
  </si>
  <si>
    <t>Процентная ставка в %</t>
  </si>
  <si>
    <t>Целевая субсидия на разработку проекта санитарно-защитной зоны ГС "Авангард"</t>
  </si>
  <si>
    <t>Целевая субсидия на изготовление и монтаж рекламных конструкций для МАУ "ГС "Авангард"</t>
  </si>
  <si>
    <t>Целевая субсидия на устройство футбольного поля, водоотведение футбольного поля, трибун футбольного поля, ограждения футбольного поля ГС "Авангард"</t>
  </si>
  <si>
    <t>Целевая субсидия на перерасчет локальных смет на общестроительные работы по строительству ФОК-2 в составе ГС "Авангард"</t>
  </si>
  <si>
    <t>05 1 8620</t>
  </si>
  <si>
    <r>
      <t>Строительство «Физкультурно-оздоровительного комплекса № 2» в составе городского стадиона «Авангард» по адресу: Московская область, г. Домодедово, микрорайон Северный,  ул. 2-я Коммунистическая, д. 2 (2-я очередь строительства)</t>
    </r>
    <r>
      <rPr>
        <sz val="9"/>
        <rFont val="Times New Roman Cyr"/>
        <family val="1"/>
      </rPr>
      <t xml:space="preserve"> авторский и технический надзор </t>
    </r>
  </si>
  <si>
    <t>Разработка ПСД на строительство административно-хозяйственного здания ГС "Авангард"</t>
  </si>
  <si>
    <t>Муниципальная программа  "Информационная и внутренняя политика городского округа Домодедово на 2014-2016 годы"</t>
  </si>
  <si>
    <t>13 0 0000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</si>
  <si>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2014-2016 годы"</t>
  </si>
  <si>
    <t>13 1 0000</t>
  </si>
  <si>
    <t>13 1 2301</t>
  </si>
  <si>
    <t>Целевая субсидия на приобретение лицензионного программного обеспечения и оргтехники</t>
  </si>
  <si>
    <t>Целевая субсидия на авторское вознаграждение</t>
  </si>
  <si>
    <t>Целевая субсидия на материальную поддержку</t>
  </si>
  <si>
    <t>Целевая субсидия на приобретение видеокамеры и сопутствующего снаряжения к ней</t>
  </si>
  <si>
    <t>Целевая субсидия на приобретение оптокоптера с видеокамерой и системой управления</t>
  </si>
  <si>
    <t>Целевая субсидия на приобретение на приобретение видеоконтента</t>
  </si>
  <si>
    <t>Целевая субсидия на приобретение на приобретение устройств к касетным видоекамерам для записи видеоматериалов</t>
  </si>
  <si>
    <t>Целевая субсидия на приобретение на разработку программного обеспечения для организации подписки электронной версии газеты "Призыв"</t>
  </si>
  <si>
    <t>Подпрограмма "Развитие состемы информирования населения городского округа Домодедово о деятельности органов муниципальной власти городского округа Домодедово на 2014-2016 годы"</t>
  </si>
  <si>
    <t>13 1 2700</t>
  </si>
  <si>
    <t>Целевая субсидия на  возмещение затрат по льготной подписке на муниципальную газету "Призыв"</t>
  </si>
  <si>
    <t>Целевая субсидия на печатание буклетов</t>
  </si>
  <si>
    <t>95 0 0000</t>
  </si>
  <si>
    <t>Обслуживание государственного (муниципального) долга</t>
  </si>
  <si>
    <t>700</t>
  </si>
  <si>
    <t>730</t>
  </si>
  <si>
    <t>92 0 0000</t>
  </si>
  <si>
    <t xml:space="preserve">Межбюджетные трансферты  </t>
  </si>
  <si>
    <t>Субсидии</t>
  </si>
  <si>
    <r>
      <t>Примечание</t>
    </r>
    <r>
      <rPr>
        <sz val="9"/>
        <rFont val="Times New Roman Cyr"/>
        <family val="0"/>
      </rPr>
      <t>:                                                                                                                                                                                                                   *Публичные нормативные обязательства</t>
    </r>
  </si>
  <si>
    <t xml:space="preserve">     Приложение № 3   </t>
  </si>
  <si>
    <t xml:space="preserve">                       к Решению Совета депутатов</t>
  </si>
  <si>
    <t xml:space="preserve">        от                     №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</si>
  <si>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</si>
  <si>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</si>
  <si>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 xml:space="preserve">*  объем средств, выделенных из резервного фонда, см. в предыдущем квартале </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</si>
  <si>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</si>
  <si>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</si>
  <si>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</si>
  <si>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1 06 06010 00 0000 110</t>
  </si>
  <si>
    <t>14.05.14</t>
  </si>
  <si>
    <t>№3-40/79 от
25.04.2013</t>
  </si>
  <si>
    <t>30.04.14</t>
  </si>
  <si>
    <t>№3-40/82 от
15.05.2013</t>
  </si>
  <si>
    <t>15.05.14</t>
  </si>
  <si>
    <t>№3-40/168 от
16.07.2013</t>
  </si>
  <si>
    <t>31.07.15</t>
  </si>
  <si>
    <t>№3-40/191 от
22.08.2013</t>
  </si>
  <si>
    <t>31.08.15</t>
  </si>
  <si>
    <t>№3-40/192 от
22.08.2013</t>
  </si>
  <si>
    <t>15.08.14</t>
  </si>
  <si>
    <t>№3-40/263 от
20.12.2013</t>
  </si>
  <si>
    <t>20.12.15</t>
  </si>
  <si>
    <r>
      <t>Приложение №</t>
    </r>
    <r>
      <rPr>
        <sz val="10"/>
        <rFont val="Times New Roman Cyr"/>
        <family val="0"/>
      </rPr>
      <t xml:space="preserve">  8</t>
    </r>
  </si>
  <si>
    <r>
      <t>Приложение №</t>
    </r>
    <r>
      <rPr>
        <sz val="10"/>
        <rFont val="Times New Roman Cyr"/>
        <family val="0"/>
      </rPr>
      <t xml:space="preserve">   7      </t>
    </r>
  </si>
  <si>
    <t>Оказание материальной помощи Дмитриеву Николаю Петровичу, пострадавшему от пожара по адресу: г. Домодедово, мкр. Авиационный, просп. Ак. Туполева, д. 8, кв. 28</t>
  </si>
  <si>
    <t>225 10 4</t>
  </si>
  <si>
    <t>Оплата услуг по перевозке грунта в связи с угрозой чрезвычайной ситуации, связанной с возгоранием на закрытом рекультивированном объекте в районе д. Заболотье</t>
  </si>
  <si>
    <t>Приобретение подарка для Муниципального автономного образовательного учреждения детский сад общеразвивающего типа № 20 "Колокольчик" в связи с празднованием 50-летия со дня образования учреждения</t>
  </si>
  <si>
    <t>Оказание материальной помощи Свиридову Андрею Петровичу  пострадавшему от пожара по адресу: г. Домодедово, с. Ильинское, ул. Бригадная, д. 61, кв. 4</t>
  </si>
  <si>
    <t>Оказание материальной помощи Шурыгиной Ирине Николаевне, пострадавшей от пожара по адресу: г. Домодедово, мкр. Центральный, ул. Каширское шоссе, д. 36. кв. 64</t>
  </si>
  <si>
    <t xml:space="preserve">Исполнение расходов бюджета городского округа </t>
  </si>
  <si>
    <t>в разрезе ведомственной структуры расходов бюджета городского Домодедово округа за 2014 год</t>
  </si>
  <si>
    <t>Приложение № 9</t>
  </si>
  <si>
    <t xml:space="preserve">Наименование </t>
  </si>
  <si>
    <t>Муниципальная программа городского округа Домодедово "Образование городского округа Домодедово на 2014-2016 годы"</t>
  </si>
  <si>
    <t xml:space="preserve">014 </t>
  </si>
  <si>
    <t>Целевая субсидия на капитальный ремонт, ремонт прогулочных веранд, технологическое присоединение к электрическим сетям, приобретение оборудования и инвентаря, выполнение электромонтажных работ, ремонт помещений прачечных, ремонт фасадов, ремонт и установка системы вытяжной вентиляции пищеблока</t>
  </si>
  <si>
    <t>03 4 71200</t>
  </si>
  <si>
    <t xml:space="preserve">Предоставление субсидий бюджетным, автономным учреждениям и иным некоммерческим организациям, в том числе </t>
  </si>
  <si>
    <t xml:space="preserve">Расходы на выплаты персоналу в целях обеспечения выполнения функций муниципальными органами, казенными учреждениями, органами управления гос. внебюджетными фондами компенсации части родительской платы за содержание ребенка в государственных (муниципальных)  образовательных учреждениях </t>
  </si>
  <si>
    <t xml:space="preserve">Целевая субсидия на приобретение ГСМ для МБУ "ЭРИС" </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</si>
  <si>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</si>
  <si>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</si>
  <si>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</si>
  <si>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</si>
  <si>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 xml:space="preserve">Приложение №  6   </t>
  </si>
  <si>
    <t xml:space="preserve">Приложение №  5   </t>
  </si>
  <si>
    <t xml:space="preserve">Налог на имущество организаций по имуществу, входящему в Единую систему газоснабжения                                                                                                                   </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</si>
  <si>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</si>
  <si>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</si>
  <si>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</si>
  <si>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</si>
  <si>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1 08 07160 01 0000 110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</si>
  <si>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</si>
  <si>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03 1 6212</t>
  </si>
  <si>
    <t>Субсидии некоммерческим организациям (за исключением государственных (муниципальных) учреждений)</t>
  </si>
  <si>
    <t>Мероприятия по закупке оборудования для дошкольных образовательных учреждений Московской области -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"Образование Подмосковья" на 2014-2018 годы</t>
  </si>
  <si>
    <t>03 1 6213</t>
  </si>
  <si>
    <t>03 1 0000</t>
  </si>
  <si>
    <t>03 1 7120</t>
  </si>
  <si>
    <t>Субсидии автономным учреждениям, в том числе:</t>
  </si>
  <si>
    <t>Целевая субсидия на софинансирование расходов на приобретение оборудования для дошкольных образовательных учреждений, победителей областного конкурса дошкольных образовательных организаций муниципальных образований Московской области на присвоение статуса Региональной инновационной площадки Московской области в 2014 году</t>
  </si>
  <si>
    <t xml:space="preserve">Субсидия на софинансирование мероприятий по замене лифтового оборудования, отработавшего нормативный срок </t>
  </si>
  <si>
    <t>Обеспечение мероприятий по капитальному ремонту внутридворовых территорий (средства муниципального дорожного фонда)</t>
  </si>
  <si>
    <t>10 4 2517</t>
  </si>
  <si>
    <t>12 Ж 2350</t>
  </si>
  <si>
    <t>Подпрограмма "Модернизация объектов коммунальной инфраструктуры на 2014-2016 годы"</t>
  </si>
  <si>
    <t>10  2 2500</t>
  </si>
  <si>
    <t>10 2 2506</t>
  </si>
  <si>
    <t xml:space="preserve">Субсидии юридическим лицам (кроме муниципальных учреждений) и физическим лицам - производителям товаров, работ, услуг -  НПВК "ВКВ" </t>
  </si>
  <si>
    <t>10 2 2507</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</si>
  <si>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</si>
  <si>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Строительство очистных сооружений микрорайон "Востряково"</t>
  </si>
  <si>
    <t>Реконструкция котельных: микрорайон "Западный" , котельная "КШФ"; микрорайон "Северный", котельная "Речная"</t>
  </si>
  <si>
    <t>Монтаж узла учета тепловой энергии, перекладка магистралей тепловых сетей в здании МБУ "ДЦГБ"</t>
  </si>
  <si>
    <t>Строительство скважины питьевой воды с. Павловское</t>
  </si>
  <si>
    <t>Прокладка теплотрассы к модульным зданиям на территории лагеря им. Талалихина</t>
  </si>
  <si>
    <t>Строительство трубопроводов  водоснабжения и водоотведения к модульным зданиям на территории лагеря им. Талалихина</t>
  </si>
  <si>
    <t xml:space="preserve">Реализация мер социальной поддержки и социального обеспечения детей-сирот и детей, оставшихся без попечения родителей, а также лиц из их числа в школах-интернатах </t>
  </si>
  <si>
    <t>03 3 6224</t>
  </si>
  <si>
    <t>Подпрограмма "Развитие дополнительного образования, формирование современной системы воспитания, в том числе профилактика ассоциального поведения несовершеннолетних, мероприятия в городском округе Домодедово на 2014-2016 годы"</t>
  </si>
  <si>
    <t>03 4 0000</t>
  </si>
  <si>
    <t xml:space="preserve">Реализация мер социальной поддержки и социального обеспечения детей-сирот и детей, оставшихся без попечения родителей, а также лиц из их числа в детских домах </t>
  </si>
  <si>
    <t>03 4 6224</t>
  </si>
  <si>
    <t>Подпрограмма "Развитие общего образования в городском округе Домодедово на 2014-2016 годы"</t>
  </si>
  <si>
    <t>Выплата вознаграждения за выполнение функций классного руководителя педагогическим работникам муниципальных образовательных организаций</t>
  </si>
  <si>
    <t>03 2 6225</t>
  </si>
  <si>
    <t>03 2 6227</t>
  </si>
  <si>
    <t xml:space="preserve">Внедрение современных образовательных технологий </t>
  </si>
  <si>
    <t>03 2 6228</t>
  </si>
  <si>
    <t>Государственная пошлина за выдачу ордера на квартиру</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</si>
  <si>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</si>
  <si>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</si>
  <si>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</si>
  <si>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</si>
  <si>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</si>
  <si>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</si>
  <si>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</si>
  <si>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</si>
  <si>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2 02 02008 04 0000 151</t>
  </si>
  <si>
    <t>2 02 03119 00 0000 151</t>
  </si>
  <si>
    <t>2 02 03119 04 0000 151</t>
  </si>
  <si>
    <t>2 07 04020 04 0000 180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</si>
  <si>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</si>
  <si>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2 07 04050 04 0000 180</t>
  </si>
  <si>
    <t xml:space="preserve">Прочие безвозмездные поступления в бюджеты городских округов                                                                                                                                            </t>
  </si>
  <si>
    <t>ДОХОДЫ БЮДЖЕТА</t>
  </si>
  <si>
    <t>ПО КОДАМ КЛАССИФИКАЦИИ ДОХОДОВ БЮДЖЕТА</t>
  </si>
  <si>
    <t>администратора поступлений</t>
  </si>
  <si>
    <t>доходов бюджета</t>
  </si>
  <si>
    <t>ДОХОДЫ, всего</t>
  </si>
  <si>
    <t xml:space="preserve"> Министерство сельского хозяйства и продовольствия Московской области</t>
  </si>
  <si>
    <t>Управление здравоохранения Администрации городского округа Домодедово Московской области</t>
  </si>
  <si>
    <t>Комитет по культуре, делам молодежи и спорту Администрации городского округа Домодедово Московской области</t>
  </si>
  <si>
    <t>Администрация городского округа Домодедово Московской области</t>
  </si>
  <si>
    <t xml:space="preserve"> Федеральная служба по надзору в сфере природопользования</t>
  </si>
  <si>
    <t>048</t>
  </si>
  <si>
    <t xml:space="preserve"> Федеральная служба по ветеринарному и  фитосанитарному надзору
</t>
  </si>
  <si>
    <t>081</t>
  </si>
  <si>
    <t xml:space="preserve"> Федеральная служба по надзору в сфере  транспорта</t>
  </si>
  <si>
    <t>106</t>
  </si>
  <si>
    <t>Управление образования Администрации городского округа Домодедово Московской области</t>
  </si>
  <si>
    <t>114</t>
  </si>
  <si>
    <t>Комитет по управлению имуществом Администрации городского округа Домодедово Московской области</t>
  </si>
  <si>
    <t>Муниципальное казенное учреждение городского округа Домодедово "Управление нежилых помещений"</t>
  </si>
  <si>
    <t>130</t>
  </si>
  <si>
    <t>Федеральная служба по надзору в сфере защиты прав потребителей и благополучия человека</t>
  </si>
  <si>
    <t>141</t>
  </si>
  <si>
    <t>Федеральная служба по труду и занятости</t>
  </si>
  <si>
    <t>150</t>
  </si>
  <si>
    <t>Федеральная налоговая служба</t>
  </si>
  <si>
    <t xml:space="preserve">Налог, взимаемый в связи с применением упрощенной системы налогообложения </t>
  </si>
  <si>
    <t>1 05 04010 02 1000 110</t>
  </si>
  <si>
    <t>ЗАДОЛЖЕННОСТЬ И ПЕРЕРАСЧЕТЫ ПО ОТМЕНЕННЫМ НАЛОГАМ, СБОРАМ И ИНЫМ ОБЯЗАТЕЛЬНЫМ ПЛАТЕЖАМ</t>
  </si>
  <si>
    <t>Министерство внутренних дел Российской Федерации</t>
  </si>
  <si>
    <t>188</t>
  </si>
  <si>
    <t>Федеральная миграционная служба</t>
  </si>
  <si>
    <t>192</t>
  </si>
  <si>
    <t>Федеральная служба государственной регистрации, кадастра и картографии</t>
  </si>
  <si>
    <t>Главное управление государственного административно-технического надзора Московской области</t>
  </si>
  <si>
    <t>816</t>
  </si>
  <si>
    <r>
      <t>Приложение №</t>
    </r>
    <r>
      <rPr>
        <sz val="10"/>
        <rFont val="Times New Roman Cyr"/>
        <family val="0"/>
      </rPr>
      <t xml:space="preserve">   2   </t>
    </r>
  </si>
  <si>
    <r>
      <t>Приложение №</t>
    </r>
    <r>
      <rPr>
        <sz val="10"/>
        <rFont val="Times New Roman Cyr"/>
        <family val="0"/>
      </rPr>
      <t xml:space="preserve">   1   </t>
    </r>
  </si>
  <si>
    <r>
      <t xml:space="preserve">Периодичность: </t>
    </r>
    <r>
      <rPr>
        <b/>
        <sz val="12"/>
        <rFont val="Times New Roman"/>
        <family val="1"/>
      </rPr>
      <t xml:space="preserve">квартальная                                                                           </t>
    </r>
  </si>
  <si>
    <t>Муниципальная программа "Развитие жилищно-коммунального хозяйства на 2014-2016 годы"</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</si>
  <si>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медицинской экспертизы)</t>
  </si>
  <si>
    <t>10 5 2011</t>
  </si>
  <si>
    <t>Подпрограмма "Развитие малого и среднего предпринимательства в городском округе Домодедово на 2014-2016 годы"</t>
  </si>
  <si>
    <t>11 1 0000</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</si>
  <si>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</si>
  <si>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11 1 2507</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</si>
  <si>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</si>
  <si>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11 1 2508</t>
  </si>
  <si>
    <t>11 1 6210</t>
  </si>
  <si>
    <t>Субсидии юридическим лицам (кроме государственных учреждений) и физическим лицам - производителям товаров, работ и услуг за счет средств бюджета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 образующих инфраструктуру поддержки и развития малого и среднего предпринимательства</t>
  </si>
  <si>
    <t>Подпрограмма "Капитальный ремонт общего имущества в многоквартирных домах, расположенных на территории городского округа Домодедово, на 2014-2016 годы"</t>
  </si>
  <si>
    <t>10 4 0000</t>
  </si>
  <si>
    <t>10 4 2514</t>
  </si>
  <si>
    <t>Субсидии юридическим лицам (кроме муниципальных учреждений) и физическим лицам - производителям товаров, работ и услуг</t>
  </si>
  <si>
    <t xml:space="preserve">Прочие доходы от компенсации затрат  бюджетов городских округов </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</si>
  <si>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</si>
  <si>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</si>
  <si>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</si>
  <si>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</si>
  <si>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</si>
  <si>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1 08 07150 01 0000 110 </t>
  </si>
  <si>
    <t>Государственная пошлина за выдачу разрешения на установку рекламной конструкции</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</si>
  <si>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</si>
  <si>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</si>
  <si>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</si>
  <si>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</si>
  <si>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</si>
  <si>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</si>
  <si>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</si>
  <si>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</si>
  <si>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</si>
  <si>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</si>
  <si>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2 02 02008 00 0000 151</t>
  </si>
  <si>
    <t>Субсидии бюджетам на обеспечение жильем молодых семей</t>
  </si>
  <si>
    <t>Субсидии бюджетам городских округов на обеспечение жильем молодых семей</t>
  </si>
  <si>
    <t>Прочие налоги и сборы (по отмененным местным налогам и сборам)</t>
  </si>
  <si>
    <t>1 09 07010 00 0000 110</t>
  </si>
  <si>
    <t>Налог на рекламу</t>
  </si>
  <si>
    <t>Налог на рекламу, мобилизуемый на территориях городских округов</t>
  </si>
  <si>
    <t>1 09 07030 00 0000 110</t>
  </si>
  <si>
    <t xml:space="preserve">КУЛЬТУРА, КИНЕМАТОГРАФИЯ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</si>
  <si>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</si>
  <si>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</si>
  <si>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</si>
  <si>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1 12 01 010 01 0000 120</t>
  </si>
  <si>
    <t>Плата за выбросы загрязняющих веществ в атмосферный воздух стационарными объектами</t>
  </si>
  <si>
    <t>1 12 01 020 01 0000 120</t>
  </si>
  <si>
    <t>017 01 02 00 00  04 0000 710</t>
  </si>
  <si>
    <t>Пенсионное обеспечение</t>
  </si>
  <si>
    <t>Социальное обеспечение населения</t>
  </si>
  <si>
    <t>Охрана семьи и детства</t>
  </si>
  <si>
    <t>Субсидии некоммерческим организациям (за исключением муниципальных учреждений)</t>
  </si>
  <si>
    <t>630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</si>
  <si>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</si>
  <si>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</si>
  <si>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Другие вопросы в области образования</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</si>
  <si>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</si>
  <si>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</si>
  <si>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Прочие субвенции</t>
  </si>
  <si>
    <t>2 02 03999 04 0000 151</t>
  </si>
  <si>
    <t>Прочие субвенции бюджетам городских округов</t>
  </si>
  <si>
    <t>2 02 04000 00 0000 151</t>
  </si>
  <si>
    <t>Иные межбюджетные трансферты</t>
  </si>
  <si>
    <t>2 02 04005 00 0000 151</t>
  </si>
  <si>
    <t>Обеспечение деятельности финансовых, налоговых и таможенных органов и органов финансового (финансово-бюджетного)  надзора</t>
  </si>
  <si>
    <t>06</t>
  </si>
  <si>
    <t>07</t>
  </si>
  <si>
    <t>08</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</si>
  <si>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</si>
  <si>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</si>
  <si>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</si>
  <si>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</si>
  <si>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</si>
  <si>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Другие вопросы в области национальной безопасности и правоохранительной деятельности</t>
  </si>
  <si>
    <t xml:space="preserve">Другие вопросы в области здравоохранения </t>
  </si>
  <si>
    <t>СОЦИАЛЬНАЯ ПОЛИТИКА</t>
  </si>
  <si>
    <t>Пенсии</t>
  </si>
  <si>
    <t>Доплаты к пенсиям, дополнительное пенсионное обеспечение</t>
  </si>
  <si>
    <t xml:space="preserve">Единый сельскохозяйственный налог </t>
  </si>
  <si>
    <t>1 06 00000 00 0000 000</t>
  </si>
  <si>
    <t>НАЛОГИ НА ИМУЩЕСТВО</t>
  </si>
  <si>
    <t>1 06 01000 00 0000 110</t>
  </si>
  <si>
    <t>Налог на имущество физических лиц</t>
  </si>
  <si>
    <t>1 06 01020 04 0000 110</t>
  </si>
  <si>
    <t>ФИЗИЧЕСКАЯ КУЛЬТУРА И СПОРТ</t>
  </si>
  <si>
    <t>1 01 00000 00 0000 000</t>
  </si>
  <si>
    <t xml:space="preserve">НАЛОГИ НА ПРИБЫЛЬ, ДОХОДЫ </t>
  </si>
  <si>
    <t>1 01 02000 01 0000 110</t>
  </si>
  <si>
    <t>Налог на доходы физических лиц</t>
  </si>
  <si>
    <t>1 01 02010 01 0000 110</t>
  </si>
  <si>
    <t>1 01 02020 01 0000 110</t>
  </si>
  <si>
    <t>1 01 02030 01 0000 110</t>
  </si>
  <si>
    <t>1 01 02040 01 0000 110</t>
  </si>
  <si>
    <t xml:space="preserve">Субсидии автономным учреждениям </t>
  </si>
  <si>
    <t>620</t>
  </si>
  <si>
    <t>Субсидии автономным учреждениям</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</si>
  <si>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</si>
  <si>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</si>
  <si>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</si>
  <si>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</si>
  <si>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2 02 02077 00 0000 151</t>
  </si>
  <si>
    <t>Субсидии бюджетам на бюджетные инвестиции в объекты капитального строительства собственности муниципальных образований</t>
  </si>
  <si>
    <t>2 02 02077 04 0000 151</t>
  </si>
  <si>
    <t>Субсидии бюджетам городских округовна бюджетные инвестиции в объекты капитального строительства собственности муниципальных образований</t>
  </si>
  <si>
    <t>2 02 03078 00 0000 151</t>
  </si>
  <si>
    <t>Субвенции бюджетам на модернизацию региональных систем общего образования</t>
  </si>
  <si>
    <t>2 02 03078 04 0000 151</t>
  </si>
  <si>
    <t>Субвенции бюджетам городских округов на модернизацию региональных систем общего образования</t>
  </si>
  <si>
    <t>Обеспечение деятельности подведомственных учреждений</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</si>
  <si>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</si>
  <si>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</si>
  <si>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</si>
  <si>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</si>
  <si>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</si>
  <si>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 xml:space="preserve">Целевая субсидия на приобретение основных средств </t>
  </si>
  <si>
    <t>Целевая субсидия на проведение мероприятий в области спорта,  физической культуры, туризма</t>
  </si>
  <si>
    <r>
      <t xml:space="preserve">Единица измерения: </t>
    </r>
    <r>
      <rPr>
        <b/>
        <sz val="12"/>
        <rFont val="Times New Roman"/>
        <family val="1"/>
      </rPr>
      <t>руб.</t>
    </r>
    <r>
      <rPr>
        <sz val="12"/>
        <rFont val="Times New Roman"/>
        <family val="1"/>
      </rPr>
      <t xml:space="preserve">                                                                      </t>
    </r>
  </si>
  <si>
    <t>Годовой объем резервного фонда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</si>
  <si>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</si>
  <si>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</si>
  <si>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</si>
  <si>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</si>
  <si>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</si>
  <si>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</si>
  <si>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</si>
  <si>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</si>
  <si>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</si>
  <si>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</si>
  <si>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</si>
  <si>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</si>
  <si>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</si>
  <si>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</si>
  <si>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</si>
  <si>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</si>
  <si>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8 90 00000 00 0000 000</t>
  </si>
  <si>
    <t xml:space="preserve">                    ВСЕГО  ДОХОДОВ</t>
  </si>
  <si>
    <t>Функционирование высшего должностного лица субъекта Российской Федерации и муниципального образования</t>
  </si>
  <si>
    <t>НАЛОГИ НА ТОВАРЫ (РАБОТЫ, УСЛУГИ), РЕАЛИЗУЕМЫЕ НА ТЕРРИТОРИИ РОССИЙСКОЙ ФЕДЕРАЦИИ</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</si>
  <si>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</si>
  <si>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Субсидии бюджетам городских округов на реализацию федеральных целевых программ</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</si>
  <si>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</si>
  <si>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Прокладка магистральных трубопроводов от котельной КШФ до тепловой камеры у жилого дома № 29 по ул. Текстильщиков</t>
  </si>
  <si>
    <t>Прокладка магистральных тепловых сетей от котельной "Авиационная" до жилых домов ООО "ПФК "Гюнай" по ул. Жуковского</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</si>
  <si>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</si>
  <si>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10 2 2508</t>
  </si>
  <si>
    <t xml:space="preserve">Субсидия на приобретение техники для нужд коммунального хозяйства </t>
  </si>
  <si>
    <t>10 2 6018</t>
  </si>
  <si>
    <t>10 4 2518</t>
  </si>
  <si>
    <t>10 5 2001</t>
  </si>
  <si>
    <t>Реконструкция ВЛ уличного освещения, в том числе монтаж праздничной иллюминации ул. Советская, г. Домодедово, микрорайон "Центральный" и микрорайон "Северный"</t>
  </si>
  <si>
    <t xml:space="preserve">Реконструкция УО в микрорайоне Барыбино, ул. Коммуны Герольд и Вокзальной площади </t>
  </si>
  <si>
    <t>Реконструкция УО дворовой территории д. № 18 и автобусной остановки  в селе Юсупово, Растуновского административного округа</t>
  </si>
  <si>
    <t>Реконструкция УО остановки общественного транспорта и пешеходной дорожки в д. Уварово, Повадинского и Растуновского административных округов</t>
  </si>
  <si>
    <t>Закупка материалов для электроснабжения Олимпийской аллеи</t>
  </si>
  <si>
    <t>Реконструкция уличного освещения на аллее 60-летия Победы, ул. Советская</t>
  </si>
  <si>
    <t>10 5 2002</t>
  </si>
  <si>
    <t>10 5 2004</t>
  </si>
  <si>
    <t>Целевая субсидия на возмещение специализированной службе по вопросам похоронного дела на услуги предоставляемые согласно гарантированному перечню услуг на погребение умерших, не подлежавших обязательному социальному страхованию на случай временной нетрудоспособности и в связи с материнством на день смерти и не являющихся пенсионерами, мертворожденных детей по истечении 154 дней беременности, умерших, личность которых не установлена органами внутренних дел в определенные законодательством Российской Федерации сроки, в части превышающей размер возмещения, установленный законом Московской области от 17.07.2007 № 115/2007-ОЗ «О погребении и похоронном деле в Московской области», в размере 399 руб. 16 коп. на каждое погребение.</t>
  </si>
  <si>
    <t>Прочие мероприятия по благоустройству и озеленению мест общего пользования</t>
  </si>
  <si>
    <t>10 5 2005</t>
  </si>
  <si>
    <t>Субсидии бюджетным учреждениям, в том числе:</t>
  </si>
  <si>
    <t>Целевая субсидия на топогеодезические работы земельного участка аллеи 40-летия Победы вдоль ул. Советская г. Домодедово</t>
  </si>
  <si>
    <t xml:space="preserve">Целевая субсидия на приобретение, установку и перенос контейнерных площадок </t>
  </si>
  <si>
    <t>Целевая субсидия на изготовление памятника "Они погибли за Родину 1941-1945гг" в д. Острожки, Повадинского  административного округа</t>
  </si>
  <si>
    <t>Целевая субсидия на приобретение и установку рекламных конструкций (щитов), включая размещение в них рекламных модулей</t>
  </si>
  <si>
    <t>Целевая субсидия на приобретение и установку мачт флакштоков с флагами на Олимпийскую аллею</t>
  </si>
  <si>
    <t>Подготовка населения и организаций к действиям в чрезвычайной ситуации в мирное и военное время</t>
  </si>
  <si>
    <t>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</si>
  <si>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</si>
  <si>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</si>
  <si>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</si>
  <si>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</si>
  <si>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</si>
  <si>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</si>
  <si>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Осуществление полномочий органов местного самоуправления</t>
  </si>
  <si>
    <t>120</t>
  </si>
  <si>
    <t>200</t>
  </si>
  <si>
    <t>Центральный аппарат (обеспечение полномочий в сфере образования и организации деятельности комиссий по делам несовершеннолетних и защите их прав городов и районов)</t>
  </si>
  <si>
    <t>03</t>
  </si>
  <si>
    <t>Центральный аппарат</t>
  </si>
  <si>
    <t xml:space="preserve">01 </t>
  </si>
  <si>
    <t>Муниципальная гарантия МУП "Теплосеть" на энергоносители</t>
  </si>
  <si>
    <t>№3-30/161 от
21.06.2012</t>
  </si>
  <si>
    <t xml:space="preserve">Закупка товаров, работ и услуг для муниципальных нужд </t>
  </si>
  <si>
    <t xml:space="preserve">Целевая субсидия на мероприятия по организации оздоровительной кампании детей </t>
  </si>
  <si>
    <t>Целевая субсидия на организацию и осуществление мероприятий в сфере молодежной политики</t>
  </si>
  <si>
    <t>ПОСТУПЛЕНИЕ ДОХОДОВ</t>
  </si>
  <si>
    <t xml:space="preserve">В БЮДЖЕТ ГОРОДСКОГО ОКРУГА ДОМОДЕДОВО </t>
  </si>
  <si>
    <t>3</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</si>
  <si>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</si>
  <si>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</si>
  <si>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</si>
  <si>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</si>
  <si>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1 05 01000 00 0000 110</t>
  </si>
  <si>
    <t>Код бюджетной классификации</t>
  </si>
  <si>
    <t>администратора источника финансирования</t>
  </si>
  <si>
    <t>источника финансирования</t>
  </si>
  <si>
    <t>01 05 00 00 00 0000 000</t>
  </si>
  <si>
    <t>01 05 02 00 00 0000 500</t>
  </si>
  <si>
    <t>01 05 02 00 00 0000 600</t>
  </si>
  <si>
    <t>400</t>
  </si>
  <si>
    <t xml:space="preserve">Субсидии бюджетным учреждениям </t>
  </si>
  <si>
    <t>610</t>
  </si>
  <si>
    <t>244</t>
  </si>
  <si>
    <t>Периодические издания, учрежденные органами законодательной и исполнительной власти</t>
  </si>
  <si>
    <t>Предоставление гражданам субсидий на оплату жилья и коммунальных услуг</t>
  </si>
  <si>
    <t>Совет депутатов городского округа Домодедово  МО</t>
  </si>
  <si>
    <t>Процент исполнения</t>
  </si>
  <si>
    <t>к утвержденному плану, %</t>
  </si>
  <si>
    <t>к уточненному плану, %</t>
  </si>
  <si>
    <t>11 1 5064</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</si>
  <si>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</si>
  <si>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</si>
  <si>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</si>
  <si>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Целевая субсидия на проведение мероприятий с обучающимися, воспитанниками образовательных организаций и педагогическими работниками</t>
  </si>
  <si>
    <t>03 4 7123</t>
  </si>
  <si>
    <t>03 4 7124</t>
  </si>
  <si>
    <t>03 5 6234</t>
  </si>
  <si>
    <t>03 5 7121</t>
  </si>
  <si>
    <t>Дополнительные изыскания по трассе газоснабжения, проектные работы по наружному газопроводу для котельной, государственная экспертиза по объекту "Средняя школа на 230 учащихся в мкр. Белые Столбы, г.Домодедово, ул.Телеграфная 11</t>
  </si>
  <si>
    <t>Технологическое присоединение к электрическим сетям МАОУ Белостолбовская СОШ</t>
  </si>
  <si>
    <t>Государственная экспертиза проектной документации и результатов инженерных изысканий МАОУ "Белостолбовская СОШ"</t>
  </si>
  <si>
    <t>Целевая субсидия на проведение капитального ремонта, ремонта муниципальных общеобразовательных организаций, реконструкцию электрощитовой</t>
  </si>
  <si>
    <t>Целевая субсидия на приобретение мебели для начальных классов</t>
  </si>
  <si>
    <t>Целевая субсидия на материально-техническое обеспечение Домодедовского информацинно-методического центра МАОУ Домодедовской СОШ №1</t>
  </si>
  <si>
    <t>03 5 7123</t>
  </si>
  <si>
    <t>Целевая субсидия на приобретение боксерского ринга</t>
  </si>
  <si>
    <t>Целевая субсидия на ремонт спортзала в МБОУ ДЮСШ "Олимп"</t>
  </si>
  <si>
    <t>Подпрограмма "Обеспечение дятельности системы образования городского округа Домодедово на 2014-2016 годы"</t>
  </si>
  <si>
    <t>03 6 0000</t>
  </si>
  <si>
    <t>03 6 7105</t>
  </si>
  <si>
    <t>Подпрограмма "Развитие дополнительного образования, формирование современной системы воспитания, в том числе профилактика ассоциального поведения несовершеннолетних, мероприятия в гор. округе Домодедово на 2014-2016 годы" мероприятия по организации отдыха детей в каникулярное время</t>
  </si>
  <si>
    <t>03 4 6219</t>
  </si>
  <si>
    <t>Субсидии автономным  учреждениям на иные цели</t>
  </si>
  <si>
    <t>03 4 7509</t>
  </si>
  <si>
    <t xml:space="preserve">Целевая субсидия бюджетным  учреждениям на мероприятия по организации оздоровительной кампании детей </t>
  </si>
  <si>
    <t xml:space="preserve">Целевая субсидия автономным  учреждениям на мероприятия по организации оздоровительной кампании детей </t>
  </si>
  <si>
    <t xml:space="preserve">Муниципальная программа "Спорт городского округа Домодедово на 2014-2016 годы" </t>
  </si>
  <si>
    <t>05 0 0000</t>
  </si>
  <si>
    <t>Подпрограмма "Молодое поколение городского округа Домодедово на 2014-2016 годы"</t>
  </si>
  <si>
    <t>05 2 0000</t>
  </si>
  <si>
    <t>05 2 8431</t>
  </si>
  <si>
    <t>Субсидия на иные цели (организация и осуществление мероприятий в сфере молодежной политики)</t>
  </si>
  <si>
    <t>Целевая субсидия на ремонт внутренних помещений, инженерных сетей</t>
  </si>
  <si>
    <t>03 6 2204</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</si>
  <si>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</si>
  <si>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t>
  </si>
  <si>
    <t>03 2 7152</t>
  </si>
  <si>
    <t xml:space="preserve">Расходы на выплаты персоналу в целях обеспечения выполнения функций муниципальными органами, казенными учреждениями, органами управления гос. внебюджетными фондами, компенсации части родительской платы за содержание ребенка в государственных (муниципальных)  образовательных учреждениях </t>
  </si>
  <si>
    <t>03 6 6214</t>
  </si>
  <si>
    <t xml:space="preserve">Мероприятия в области образования </t>
  </si>
  <si>
    <t>03 6 7100</t>
  </si>
  <si>
    <t>03 6 7152</t>
  </si>
  <si>
    <t xml:space="preserve">Субсидия на иные цели (приобретение материалов и оборудования) </t>
  </si>
  <si>
    <t xml:space="preserve">Субсидия на иные цели (приобретение ГСМ для МБУ "ЭРИС") </t>
  </si>
  <si>
    <t>КУЛЬТУРА, КИНЕМАТОГРАФИЯ</t>
  </si>
  <si>
    <t>Муниципальная программа "Культура городского округа Домодедово на 2014-2016 годы"</t>
  </si>
  <si>
    <t>Муниципальная программа "Культура городского округа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</si>
  <si>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02 0 6044</t>
  </si>
  <si>
    <t>02 0 8000</t>
  </si>
  <si>
    <t>02 0 8440</t>
  </si>
  <si>
    <t>Целевая субсидия на капитальный и текущий ремонт, приобретение и монтаж оборудования в учреждениях культуры</t>
  </si>
  <si>
    <t>02 0 8441</t>
  </si>
  <si>
    <t>Целевая субсидия на проведение государственной экспертизы ПСД на газоснабжение офисного здания МАУК ГПКиО "Елочки"</t>
  </si>
  <si>
    <t>Целевая субсидия на изготовление и монтаж рекламных конструкций для МАУК "ГПКиО "Елочки"</t>
  </si>
  <si>
    <t>Целевая субсидия на установку системы видеонаблюдения в  МАУК "ГПКиО "Елочки"</t>
  </si>
  <si>
    <t>Выплата единовременной материальной помощи гражданам, находящимся в трудной жизненной ситуации*</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</si>
  <si>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</si>
  <si>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</si>
  <si>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</si>
  <si>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</si>
  <si>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1 05 00000 00 0000 000</t>
  </si>
  <si>
    <t>НАЛОГИ НА СОВОКУПНЫЙ ДОХОД</t>
  </si>
  <si>
    <t>1 05 02010 02 0000 110</t>
  </si>
  <si>
    <t>ГОСУДАРСТВЕННАЯ ПОШЛИНА</t>
  </si>
  <si>
    <t>1 08 03000 01 0000 110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</si>
  <si>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</si>
  <si>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</si>
  <si>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</si>
  <si>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</si>
  <si>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Вопросы в области лесных отношений</t>
  </si>
  <si>
    <t>Мероприятия в области охраны, восстановления и использования лесов</t>
  </si>
  <si>
    <t>019</t>
  </si>
  <si>
    <t>Автомобильный транспорт</t>
  </si>
  <si>
    <t>Отдельные мероприятия в области автомобильного транспорта</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</si>
  <si>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</si>
  <si>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</si>
  <si>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Центральный аппарат (обеспечение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ы муниципальных архивах)</t>
  </si>
  <si>
    <t>12 6 6069</t>
  </si>
  <si>
    <t>Подпрограмма "Обеспечение реализации полномочий Финансового управления Администрации городского округа Домодедово на 2014-2016 годы"</t>
  </si>
  <si>
    <t>12 5 0000</t>
  </si>
  <si>
    <t>12 5 1204</t>
  </si>
  <si>
    <t>12 5 1295</t>
  </si>
  <si>
    <t>Подпрограмма "Обеспечение деятельности Счетной палаты Администрации городского округа Домодедово Московской области на 2014-2016 годы"</t>
  </si>
  <si>
    <t>12 7 0000</t>
  </si>
  <si>
    <t>12 7 1204</t>
  </si>
  <si>
    <t>99 0 0000</t>
  </si>
  <si>
    <t>99 0 0500</t>
  </si>
  <si>
    <t>Муниципальная программа "Предпринимательство городского округа Домодедово на 2014-2016 годы"</t>
  </si>
  <si>
    <t>11 0 0000</t>
  </si>
  <si>
    <t>Подпрограмма "Содействие занятости населения городского округа Домодедово на 2014-2016 годы"</t>
  </si>
  <si>
    <t>11 2 0000</t>
  </si>
  <si>
    <t>11 2 2203</t>
  </si>
  <si>
    <t>Субсидии юридическим лицам (кроме муниципальных учреждений) и физическим лицам - производителям товаров, работ и услуг, в том числе:</t>
  </si>
  <si>
    <t>Субсидия на реализацию мероприятий по содействию занятости населения по организации временного трудоустройства несовершеннолетних граждан в возрасте от 14 до 18 лет</t>
  </si>
  <si>
    <t>12 6 2203</t>
  </si>
  <si>
    <t xml:space="preserve">Исполнение судебных актов </t>
  </si>
  <si>
    <t>830</t>
  </si>
  <si>
    <t>Подпрограмма "Обеспечение деятельности МКУ "Управление нежилых помещений на 2014-2016 годы"</t>
  </si>
  <si>
    <t>12 8 0000</t>
  </si>
  <si>
    <t>12 8 2299</t>
  </si>
  <si>
    <t>Расходы на выплаты персоналу казенных учреждений</t>
  </si>
  <si>
    <t>12 8 2295</t>
  </si>
  <si>
    <t>12 8 2514</t>
  </si>
  <si>
    <t>Подпрограмма "Обеспечение деятельности МКУ "Домодедовская статистика на 2014-2016 годы"</t>
  </si>
  <si>
    <t>12 Б 0000</t>
  </si>
  <si>
    <t>12 Б 2299</t>
  </si>
  <si>
    <t>12 Б 2295</t>
  </si>
  <si>
    <t>Наименование расхода</t>
  </si>
  <si>
    <t>Утвержденный план</t>
  </si>
  <si>
    <t>Выплата единовременной материальной помощи гражданам пострадавшим от политических репрессий*</t>
  </si>
  <si>
    <t>017</t>
  </si>
  <si>
    <t>018</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</si>
  <si>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</si>
  <si>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НАЦИОНАЛЬНАЯ ЭКОНОМИКА</t>
  </si>
  <si>
    <t xml:space="preserve">ФАКТИЧЕСКИЕ ИСТОЧНИКИ  ВНУТРЕННЕГО ФИНАНСИРОВАНИЯ  </t>
  </si>
  <si>
    <t>Код</t>
  </si>
  <si>
    <t>006</t>
  </si>
  <si>
    <t>ВСЕГО ЗА 4 КВАРТАЛ</t>
  </si>
  <si>
    <t>Администрация городского округа</t>
  </si>
  <si>
    <t>14</t>
  </si>
  <si>
    <t>НАЦИОНАЛЬНАЯ БЕЗОПАСНОСТЬ И ПРАВООХРАНИТЕЛЬНАЯ ДЕЯТЕЛЬНОСТЬ</t>
  </si>
  <si>
    <t>014</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</si>
  <si>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</si>
  <si>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</si>
  <si>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Муниципальная программа  "Жилище" городского округа Домодедово на 2014-2016 годы"</t>
  </si>
  <si>
    <t>Целевая субсидия на на приобретение подарка для МАОУдетский сад общеразвивающего типа № 20 «Колокольчик» в связи с празднованием 50-летия со дня образования учреждения</t>
  </si>
  <si>
    <t>03 2 6243</t>
  </si>
  <si>
    <t>Проведение мероприятий по формированию сети базовых общеобразовательных организаций, в которых созданы условия для инклюзивного образования детей</t>
  </si>
  <si>
    <t>Субсидии бюджетам на государственную поддержку малого и среднего предпринимательства, включая крестьянские (фермерские) хозяйства</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</si>
  <si>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</si>
  <si>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</si>
  <si>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2 02 02024 00 0000 151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</si>
  <si>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</si>
  <si>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2 02 02024 04 0000 151</t>
  </si>
  <si>
    <t>Субсидии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</si>
  <si>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2 02 03077 00 0000 151</t>
  </si>
  <si>
    <t>Субвенции бюджетам на приобретение жилья гражданам, уволенным с военной службы (службы), и приравненными к ним лицами</t>
  </si>
  <si>
    <t>2 02 03077 04 0000 151</t>
  </si>
  <si>
    <t>Субвенции бюджетам городских округов на приобретение жилья гражданам, уволенным с военной службы (службы), и приравненными к ним лицами</t>
  </si>
  <si>
    <t>2 02 04012 00 0000 151</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</si>
  <si>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</si>
  <si>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2 02 04012 04 0000 151</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</si>
  <si>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</si>
  <si>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2 02 04999 00 0000 151</t>
  </si>
  <si>
    <t>Прочие межбюджетные трансферты</t>
  </si>
  <si>
    <t>2 02 04999 04 0000 151</t>
  </si>
  <si>
    <t>Прочие межбюджетные трансферты, передаваемые бюджетам городских округов</t>
  </si>
  <si>
    <t>Иные закупки  товаров, работ и  услуг для муниципальных нужд</t>
  </si>
  <si>
    <t xml:space="preserve">Приложение №  4 </t>
  </si>
  <si>
    <t>от  17.12.2013  №  1-4/553</t>
  </si>
  <si>
    <t>по разделам, подразделам, целевым статьям (муниципальным программам</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</si>
  <si>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</si>
  <si>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</si>
  <si>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Код ФКР</t>
  </si>
  <si>
    <t>Муниципальная программа  "Эффективная власть"</t>
  </si>
  <si>
    <t>12 0 0000</t>
  </si>
  <si>
    <t>Подпрограмма "Обеспечение деятельности Совета депутатов городского округа Домодедово на 2014-2016 годы"</t>
  </si>
  <si>
    <t>12 9 0000</t>
  </si>
  <si>
    <t>12 9 1203</t>
  </si>
  <si>
    <t>Объем погашения в 2014 году       ( тыс.руб.)</t>
  </si>
  <si>
    <t>по формам долговых обязательств за 2014 год.</t>
  </si>
  <si>
    <t>Итого общий объем привлечений в 2014 году</t>
  </si>
  <si>
    <t>000 01 06 00 00 00 0000 000</t>
  </si>
  <si>
    <t>Иные источники внутреннего финансирования дефицитов бюджетов</t>
  </si>
  <si>
    <t>000 01 06 00 00 00 0000 500</t>
  </si>
  <si>
    <t>Увеличение финансовых активов, являющихся иными источниками внутреннего финансирования дефицитов бюджетов</t>
  </si>
  <si>
    <t>000 01 06 00 00 00 0000 600</t>
  </si>
  <si>
    <t>Уменьшение финансовых активов, являющихся иными источниками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</si>
  <si>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</si>
  <si>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</si>
  <si>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</si>
  <si>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</si>
  <si>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120 01 06 01 00 04 0000 630</t>
  </si>
  <si>
    <t>Средства от продажи акций и иных форм участия в капитале, находящихся в собственности городского округа</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</si>
  <si>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</si>
  <si>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</si>
  <si>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</si>
  <si>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1 12 01040 01 0000 120</t>
  </si>
  <si>
    <t>Плата за размещение отходов производства потребления</t>
  </si>
  <si>
    <t>1 13 01000 00 0000 130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</si>
  <si>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</si>
  <si>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</si>
  <si>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</si>
  <si>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Доходы от компенсации затрат государства</t>
  </si>
  <si>
    <t>1 13 02994 04 0000 130</t>
  </si>
  <si>
    <t>Прочие доходы  от компенсации затрат бюджетов городских округов</t>
  </si>
  <si>
    <t>1 14 02040 04 0000 410</t>
  </si>
  <si>
    <t>1 14 02042 04 0000 410</t>
  </si>
  <si>
    <t>Приложение № 3</t>
  </si>
  <si>
    <t xml:space="preserve">Исполнение расходов бюджета городского округа Домодедово за 2014 год </t>
  </si>
  <si>
    <t>Целевая субсидия на поставку медицинского оборудования и медицинского инструментария для хирургического отделения МСЧ МБУЗ "ДЦГБ"</t>
  </si>
  <si>
    <t>Подпрограмма "Развитие первичной медико-санитарной помощи на 2014-2016 годы"</t>
  </si>
  <si>
    <t>01 1 0000</t>
  </si>
  <si>
    <t>01 1 9111</t>
  </si>
  <si>
    <t>Целевая субсидия на приобретение туберкулина, изготовление информационных бланков по диспансеризации</t>
  </si>
  <si>
    <t>01 1 6207</t>
  </si>
  <si>
    <t>01 1 6208</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</si>
  <si>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</si>
  <si>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</si>
  <si>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</si>
  <si>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</si>
  <si>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</si>
  <si>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</si>
  <si>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</si>
  <si>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Социальное обеспечение и иные выплаты населению</t>
  </si>
  <si>
    <t>300</t>
  </si>
  <si>
    <t>2 02 02999 04 0000 151</t>
  </si>
  <si>
    <t>Прочие субсидии бюджетам городских округов</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</si>
  <si>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</si>
  <si>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</si>
  <si>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</si>
  <si>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</si>
  <si>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</si>
  <si>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</si>
  <si>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</si>
  <si>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</si>
  <si>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</si>
  <si>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</si>
  <si>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</si>
  <si>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</si>
  <si>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</si>
  <si>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</si>
  <si>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</si>
  <si>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Возврат остатков субсидий, субвенций и иных межбюджетных трансфертов, имеющих целевое назначение, прошлых лет</t>
  </si>
  <si>
    <t>ФИЗИЧЕСКАЯ КУЛЬТУРА</t>
  </si>
  <si>
    <t>СРЕДСТВА МАССОВОЙ ИНФОРМАЦИИ</t>
  </si>
  <si>
    <t>Субсидии телерадиокомпаниям и телерадиоорганизациям</t>
  </si>
  <si>
    <t>Периодическая печать и издательства</t>
  </si>
  <si>
    <t>00</t>
  </si>
  <si>
    <t>05</t>
  </si>
  <si>
    <t>Иные бюджетные ассигнования</t>
  </si>
  <si>
    <t>800</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</si>
  <si>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</si>
  <si>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</si>
  <si>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</si>
  <si>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</si>
  <si>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Заготовка, переработка, хранение и обеспечение безопасности донорской крови и ее компонентов</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</si>
  <si>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</si>
  <si>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</si>
  <si>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Счетная палата городского округа Домодедово Московской области</t>
  </si>
  <si>
    <t xml:space="preserve">Целевая субсидия на приобретение материалов и оборудования </t>
  </si>
  <si>
    <t>Доплаты к пенсиям государственных служащих субъектов РФ и муниципальных служащих*</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</si>
  <si>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</si>
  <si>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</si>
  <si>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</si>
  <si>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</si>
  <si>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810</t>
  </si>
  <si>
    <t>Специальные расходы</t>
  </si>
  <si>
    <t>880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</si>
  <si>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</si>
  <si>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</si>
  <si>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</si>
  <si>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</si>
  <si>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</si>
  <si>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</si>
  <si>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</si>
  <si>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</si>
  <si>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1 11 01040 04 0000 120</t>
  </si>
  <si>
    <t>1 11 03000 00 0000 120</t>
  </si>
  <si>
    <t>Иные закупки товаров, работ и услуг для муниципальных нужд</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</si>
  <si>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</si>
  <si>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</si>
  <si>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</si>
  <si>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</si>
  <si>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</si>
  <si>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</si>
  <si>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</si>
  <si>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</si>
  <si>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</si>
  <si>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</si>
  <si>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</si>
  <si>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</si>
  <si>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</si>
  <si>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</si>
  <si>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</si>
  <si>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</si>
  <si>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</si>
  <si>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</si>
  <si>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</si>
  <si>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</si>
  <si>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3. Другие долговые обязательства, гарантированные муниципальным образованием</t>
  </si>
  <si>
    <t>Муниципальная гарантия МУП "Домодедовский водоканал" на пополнение оборотных средств</t>
  </si>
  <si>
    <t>Муниципальная гарантия МУП "Теплосеть" на пополнение оборотных средств</t>
  </si>
  <si>
    <t>Прочие субсидии</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</si>
  <si>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</si>
  <si>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Государственная поддержка в сфере культуры и кинематографии </t>
  </si>
  <si>
    <t xml:space="preserve">ЗДРАВООХРАНЕНИЕ  </t>
  </si>
  <si>
    <t>ЗА 2014 ГОД</t>
  </si>
  <si>
    <t>09 1 5020</t>
  </si>
  <si>
    <t>Федеральная целевая программа "Жилище" на 2011-2015 годы" подпрограмма "Обеспечение жильем молодых семей" за счет средств федерального бюджета</t>
  </si>
  <si>
    <t>Федеральная целевая программа "Жилище" на 2011-2015 годы" подпрограмма "Обеспечение жильем молодых семей" за счет средств областного бюджета</t>
  </si>
  <si>
    <t>09 2 5134</t>
  </si>
  <si>
    <t>09 2 5135</t>
  </si>
  <si>
    <t>Подпрограмма "Поддержка отдельных категорий граждан при улучшении ими жилищных условий, в том числе с использованием ипотечных жилищных кредитов на 2014-2016 годы"</t>
  </si>
  <si>
    <t>09 5 0000</t>
  </si>
  <si>
    <t>Обеспечение жильем отдельных категорий граждан</t>
  </si>
  <si>
    <t>09 5 2506</t>
  </si>
  <si>
    <t xml:space="preserve">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 реализующих основную общеобразовательную программу дошкольного образования </t>
  </si>
  <si>
    <t>03 1 6214</t>
  </si>
  <si>
    <t>Государственная программа Московской области "Жилище" на 2013-2015 годы"</t>
  </si>
  <si>
    <t>09 3 5082</t>
  </si>
  <si>
    <t>Подпрограмма "Обеспечение жильем детей-сирот и детей , оставшихся без попечения родителей, а также лиц из их числа" на 2013-2015 годы"</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</si>
  <si>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</si>
  <si>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09 3 0000</t>
  </si>
  <si>
    <t xml:space="preserve">Подпрограмма "Обеспечение жильем детей-сирот и детей , оставшихся без попечения родителей, а также лиц из их числа" </t>
  </si>
  <si>
    <t>09 3 1082</t>
  </si>
  <si>
    <t>Муниципальная программа "Спорт городского округа Домодедово на 2014-2016 годы"</t>
  </si>
  <si>
    <t>Подпрограмма "Развитие физической культуры и спорта в городском округе Домодедово на 2014-2016 годы"</t>
  </si>
  <si>
    <t>05 1 0000</t>
  </si>
  <si>
    <t>05 1 8482</t>
  </si>
  <si>
    <t>Подпрограмма "Развитие физической культуры и спорта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</si>
  <si>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05 1 6044</t>
  </si>
  <si>
    <t>Целевая субсидия на приобретение и монтаж покрытия для спортивных площадок и монтаж тренажеров</t>
  </si>
  <si>
    <t>Целевая субсидия на проведение капитального ремонта, ремонта, ремонта внутренних инженерных сетей МБУ "ЦФКС "Горизонт"</t>
  </si>
  <si>
    <t>Целевая субсидия на топографическую съемку участка ГС "Авангард"</t>
  </si>
  <si>
    <t>340 10 4</t>
  </si>
  <si>
    <t>ВСЕГО ЗА 2 КВАРТАЛ</t>
  </si>
  <si>
    <t>262 10 4</t>
  </si>
  <si>
    <t>ВСЕГО ЗА 3 КВАРТАЛ</t>
  </si>
  <si>
    <t>ВСЕГО ЗА 9 МЕСЯЦЕВ</t>
  </si>
  <si>
    <t xml:space="preserve">Итого </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</si>
  <si>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</si>
  <si>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</si>
  <si>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</si>
  <si>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</si>
  <si>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2 02 02009 00 0000 151</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</si>
  <si>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</si>
  <si>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</si>
  <si>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</si>
  <si>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</si>
  <si>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</si>
  <si>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</si>
  <si>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</si>
  <si>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</si>
  <si>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</si>
  <si>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</si>
  <si>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</si>
  <si>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</si>
  <si>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</si>
  <si>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</si>
  <si>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</si>
  <si>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</si>
  <si>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</si>
  <si>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1003</t>
  </si>
  <si>
    <t xml:space="preserve">ИНФОРМАЦИЯ О РАСХОДОВАНИИ СРЕДСТВ </t>
  </si>
  <si>
    <t>РЕЗЕРВНОГО ФОНДА АДМИНИСТРАЦИИ ГОРОДСКОГО ОКРУГА ДОМОДЕДОВО</t>
  </si>
  <si>
    <t>КОСГУ</t>
  </si>
  <si>
    <t>% исполнения к утвержденному плану</t>
  </si>
  <si>
    <t>% исполнения к уточненному плану</t>
  </si>
  <si>
    <t>к Решению Совета депутатов</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</si>
  <si>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</si>
  <si>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</si>
  <si>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</si>
  <si>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</si>
  <si>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</si>
  <si>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2.</t>
  </si>
  <si>
    <t>Наименование показателя</t>
  </si>
  <si>
    <t>000</t>
  </si>
  <si>
    <t>1 16 25030 01 0000 140</t>
  </si>
  <si>
    <t>Обслуживание государственного и муниципального долга</t>
  </si>
  <si>
    <t>11</t>
  </si>
  <si>
    <t>ЗДРАВООХРАНЕНИЕ</t>
  </si>
  <si>
    <t>016</t>
  </si>
  <si>
    <t>321</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</si>
  <si>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</si>
  <si>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Выплата единовременной материальной помощи воинам-афганцам, семьям погибших участников Афганских событий и локальных войн*</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</si>
  <si>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</si>
  <si>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</si>
  <si>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500</t>
  </si>
  <si>
    <t>Код по бюджетной класси-фикации</t>
  </si>
  <si>
    <t>Исполнено</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</si>
  <si>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</si>
  <si>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</si>
  <si>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</si>
  <si>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0000 00 00</t>
  </si>
  <si>
    <t>Итого по разделу 0100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</si>
  <si>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</si>
  <si>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</si>
  <si>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</si>
  <si>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Субсидия на оплату услуг по капитальному ремонту жилого фонда льготным категориям граждан*</t>
  </si>
  <si>
    <t>Выплата единовременной материальной помощи по медицинским показаниям*</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</si>
  <si>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</si>
  <si>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</si>
  <si>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</si>
  <si>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2 02 03029 04 0000 151</t>
  </si>
  <si>
    <t>Целевая субсидия на капитальный и текущий ремонт, приобретение мебели,оборудования, материалов и основных средств, технологическое присоединение дополнительной мощности, устройство подвесного медицинского потолка, установка кнопок вызова медицинского персонала, противопожарные мероприятия, ремонт и устройство контейнерных площадок, установка контейнерных бачков, установка систем контроля доступа в отделения, ремонт автоматики распашных ворот</t>
  </si>
  <si>
    <t xml:space="preserve">Программа "Спорт городского округа Домодедово на 2014-2016 годы" </t>
  </si>
  <si>
    <t>Предоставление субсидий бюджетным, автономным учреждениям и иным некоммерческим организациям, в том числе:</t>
  </si>
  <si>
    <t>Подпрограма "Развитие информационно-коммуникационных технологий городского округа Домодедово на 2014-2016 годы"</t>
  </si>
  <si>
    <t>Подпрограма "Обеспечение деятельности Администрации городского округа Домодедово на 2014-2016 годы"</t>
  </si>
  <si>
    <t>Центральный аппарат (отделы обеспечивающие предоставление гражданам РФ, имеющим место жительства в Московской области, субсидий на оплату жилого помещения и коммунальных услуг и находящихся в составе Администрации или в структуре управомоченного учреждения)</t>
  </si>
  <si>
    <t>Субсидии юридическим лицам (кроме муниципальных учреждений) и физическим лицам - производителям товаров, работ, услуг, в том числе:</t>
  </si>
  <si>
    <t>Субсидии на реализацию мероприятий по содействию занятости населения  по содействию занятости населения по организации временного трудоустройства несовершеннолетних граждан в возрасте от 14 до 18 лет</t>
  </si>
  <si>
    <t>Подпрограмма "Снижение рисков и смягчение последствий чрезвычайных ситуаций природного и техногенного характера на территории городского округа Домодедово  на 2014-2016 годы"</t>
  </si>
  <si>
    <r>
      <t>Муниципальная программа</t>
    </r>
    <r>
      <rPr>
        <b/>
        <i/>
        <sz val="9"/>
        <rFont val="Times New Roman Cyr"/>
        <family val="0"/>
      </rPr>
      <t xml:space="preserve"> </t>
    </r>
    <r>
      <rPr>
        <i/>
        <sz val="9"/>
        <rFont val="Times New Roman Cyr"/>
        <family val="0"/>
      </rPr>
      <t>"Развитие жилищно-коммунального хозяйства на 2014-2016 годы"</t>
    </r>
  </si>
  <si>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(прочие расходы) средства областного бюджета</t>
  </si>
  <si>
    <t>Программа "Развитие жилищно-коммунального хозяйства на 2014-2016 годы"</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</si>
  <si>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медицинской экспертизы)</t>
  </si>
  <si>
    <t>Подпрограмма "Капитальный ремонт общего имущества в многоквартирных домах, расположенных на территории городского округа Домодедово на 2014-2016 годы"</t>
  </si>
  <si>
    <t>Муниципальная программа "Экология и окружающая среда городского округа Домодедово на 2014-2016 годы</t>
  </si>
  <si>
    <t>Программа "Социальная защита населения городского округа Домодедово на 2014-2016 годы"</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</si>
  <si>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</si>
  <si>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2 02 02215 00 0000 151</t>
  </si>
  <si>
    <t>2 02 02215 04 0000 151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</si>
  <si>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</si>
  <si>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</si>
  <si>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2 02 02051 00 0000 151</t>
  </si>
  <si>
    <t>2 02 02051 04 0000 151</t>
  </si>
  <si>
    <t xml:space="preserve">Субсидии бюджетам на реализацию федеральных целевых программ
</t>
  </si>
  <si>
    <t xml:space="preserve">Субсидии бюджетам городских округов на реализацию федеральных целевых программ
</t>
  </si>
  <si>
    <t xml:space="preserve">2 02 04061 00 0000 151
</t>
  </si>
  <si>
    <t xml:space="preserve">2 02 04061 04 0000 151
</t>
  </si>
  <si>
    <t xml:space="preserve">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
</t>
  </si>
  <si>
    <t xml:space="preserve">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
</t>
  </si>
  <si>
    <t>2 07 04000 04 0000 180</t>
  </si>
  <si>
    <t>2 07 04010 04 0000 180</t>
  </si>
  <si>
    <t>Прочие безвозмездные поступления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</si>
  <si>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</si>
  <si>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Долг по состоянию на 01.01.15</t>
  </si>
  <si>
    <t>из них причитается к погашению в 2014г.</t>
  </si>
  <si>
    <t>фактически погашено в 2014 году</t>
  </si>
  <si>
    <t>№3-40/1 от
15.01.2014</t>
  </si>
  <si>
    <t>16.02.15</t>
  </si>
  <si>
    <t>№3-40/11 от
01.04.2014</t>
  </si>
  <si>
    <t>31.03.16</t>
  </si>
  <si>
    <t>№3-40/16 от
15.05.2014</t>
  </si>
  <si>
    <t>15.05.15</t>
  </si>
  <si>
    <t>Муниципальная гарантия МУП "Электросеть" на капитальный ремонт объектов материально-технической базы</t>
  </si>
  <si>
    <t>№3-40/39 от
26.06.2014</t>
  </si>
  <si>
    <t>26.06.15</t>
  </si>
  <si>
    <t xml:space="preserve">Финансирование расходов на оплату труда работников школ- детских садов, школ начальных, неполных средних и средних,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t>
  </si>
  <si>
    <t>03 2 6220</t>
  </si>
  <si>
    <t>Земельный налог, взимаемый по ставкам, установленным в соответствии с подпунктом 1 пункта 1 статьи 394 НК РФ</t>
  </si>
  <si>
    <t>1 06 06012 04 0000 110</t>
  </si>
  <si>
    <t>1 11 07014 04 0000 120</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</si>
  <si>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</si>
  <si>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</si>
  <si>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</si>
  <si>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</si>
  <si>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2 07 00000 00 0000 180</t>
  </si>
  <si>
    <t>ПРОЧИЕ БЕЗВОЗМЕЗДНЫЕ ПОСТУПЛЕНИЯ</t>
  </si>
  <si>
    <t>2 19 00000 00 0000 000</t>
  </si>
  <si>
    <t>2 19 04000 04 0000 151</t>
  </si>
  <si>
    <t>Закупка товаров, работ и услуг для муниципальных нужд</t>
  </si>
  <si>
    <t>Подвоз учащихся к месту обучения в муниципальные общеобразовательные учреждения, расположенные в сельской местности</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</si>
  <si>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</si>
  <si>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</si>
  <si>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</si>
  <si>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</si>
  <si>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</si>
  <si>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</si>
  <si>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</si>
  <si>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</si>
  <si>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</si>
  <si>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</si>
  <si>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</si>
  <si>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</si>
  <si>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</si>
  <si>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</si>
  <si>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03 3 6242</t>
  </si>
  <si>
    <t>Целевая субсидия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t>
  </si>
  <si>
    <t>Муниципальная программа  "Безопасность населения городского округа Домодедово на 2014-2016 годы"</t>
  </si>
  <si>
    <t>Подпрограмма "Обеспечение пожарной безопасности на территории городского округа Домодедово на 2014-2016 годы"</t>
  </si>
  <si>
    <t>08 4 0000</t>
  </si>
  <si>
    <t>08 4 2247</t>
  </si>
  <si>
    <t>Подпрограмма "Профилактика преступлений и иных правонарушений на территории городского округа Домодедово на  2014-2016 годы"</t>
  </si>
  <si>
    <t>08 1 0000</t>
  </si>
  <si>
    <t>08 1 2502</t>
  </si>
  <si>
    <r>
      <t xml:space="preserve">Муниципальная программа </t>
    </r>
    <r>
      <rPr>
        <b/>
        <i/>
        <sz val="9"/>
        <rFont val="Times New Roman Cyr"/>
        <family val="0"/>
      </rPr>
      <t xml:space="preserve"> </t>
    </r>
    <r>
      <rPr>
        <i/>
        <sz val="9"/>
        <rFont val="Times New Roman Cyr"/>
        <family val="0"/>
      </rPr>
      <t>"Развитие жилищно-коммунального хозяйства на 2014-2016 годы"</t>
    </r>
  </si>
  <si>
    <t>10 0 0000</t>
  </si>
  <si>
    <t>Подпрограмма "Санитарное содержание, благоустройство и озеленение городского округа Домодедово на 2014-2016 годы"</t>
  </si>
  <si>
    <t>10 5 0000</t>
  </si>
  <si>
    <t>10 5 2292</t>
  </si>
  <si>
    <t>Муниципальная программа  "Развитие и функционирование дорожно-транспортного комплекса на 2014-2016 годы"</t>
  </si>
  <si>
    <t>14 0 0000</t>
  </si>
  <si>
    <t>Подпрограмма "Обеспечение доступности услуг пассажирского транспорта на территории городского округа Домодедово на 2014-2016 годы"</t>
  </si>
  <si>
    <t>14 3 0000</t>
  </si>
  <si>
    <t>14 3 2301</t>
  </si>
  <si>
    <t>14 3 2302</t>
  </si>
  <si>
    <t xml:space="preserve">Субсидии юридическим лицам (кроме муниципальных учреждений) и физическим лицам - производителям товаров, работ, услуг на перевозку пассажиров в черте города </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</si>
  <si>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t>
  </si>
  <si>
    <t>14 3 2303</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</si>
  <si>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Отдельные мероприятия в области автомобильного транспорта (прочие расходы), средства областного бюджета</t>
  </si>
  <si>
    <t>14 3 6110</t>
  </si>
  <si>
    <t>Подпрограмма "Обеспечение капитального ремонта, содержания и ремонта автомобильных дорог, мостов муниципального значения на 2014-2016 годы"</t>
  </si>
  <si>
    <t>14 1 0000</t>
  </si>
  <si>
    <t>14 1 2520</t>
  </si>
  <si>
    <t>Целевая субсидия на бюджетным учреждениям на восстановление путепровода через р. Северка, д. Дебречено</t>
  </si>
  <si>
    <t>Подпрограмма "Обеспечение безопасности дорожного движения на территории городского округа Домодедово на 2014-2016 годы"</t>
  </si>
  <si>
    <t>14 2 0000</t>
  </si>
  <si>
    <t>14 2 2512</t>
  </si>
  <si>
    <t>Иные межбюджетные трансферты из бюджета Моск.обл. на допол.мероприятия по развитию жилищно-коммун.хозяйства и социально-культурной сферы на 2014 г. и на плановый период 2015 и 2016 гг.</t>
  </si>
  <si>
    <t>99 0 0440</t>
  </si>
  <si>
    <t>Подпрограмма "Обеспечение работоспособности средств вычислительной техники Администрации городского округа Домодедово и ее органов на 2014-2016 годы"</t>
  </si>
  <si>
    <t>12 3 0000</t>
  </si>
  <si>
    <t>12 3 2099</t>
  </si>
  <si>
    <t xml:space="preserve">Субсидии бюджетным учреждениям, втом числе: </t>
  </si>
  <si>
    <t>Целевая субсидия на разработку программного комплекса и системы принятия решений по контролю за финансово хозяйственной деятельностью муниципальных унитарных предприятий, приобретение оборудования и инвентаря</t>
  </si>
  <si>
    <t xml:space="preserve">Целевая субсидия на мероприятия по модернизации информационной сети, приобретение оборудования и программного обеспечения </t>
  </si>
  <si>
    <t>Создание и развитие сети многофункциональных центров предоставление государственных и муниципальных услуг за счет средств, перечисляемых из федерального бюджета</t>
  </si>
  <si>
    <t>12 Г 5392</t>
  </si>
  <si>
    <t>Муниципальная программа "Архитектура и градостроительство городского округа Домодедово на 2014-2016 годы"</t>
  </si>
  <si>
    <t>15 0 0000</t>
  </si>
  <si>
    <t>Подпрограмма "Проектно-информационное обеспечение градостроительной деятельности городского округа Домодедово на 2014-2016 годы"</t>
  </si>
  <si>
    <t>15 1 0000</t>
  </si>
  <si>
    <t>15 1 2099</t>
  </si>
  <si>
    <t>12 Ж 2003</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</si>
  <si>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</si>
  <si>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</si>
  <si>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</si>
  <si>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 xml:space="preserve">Социальные выплаты гражданам, кроме публичных нормативных социальных выплат </t>
  </si>
  <si>
    <t>320</t>
  </si>
  <si>
    <t>Целевая субсидия на мероприятия в сфере культуры</t>
  </si>
  <si>
    <t>Другие вопросы в области культуры,  кинематографии</t>
  </si>
  <si>
    <t>Реализация мер социальной поддержки и социального обеспечения детей-сирот, оставшихся без попечения родителей, а также лиц из их числа, обучающихся по очной форме обучения в муниципальных и негосударственных учреждениях высшего профессионального образования, находящихся на территории Московской области в соответствии с Законом Московской области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</si>
  <si>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 xml:space="preserve">10 </t>
  </si>
  <si>
    <t>Социальные выплаты гражданам, кроме публичных нормативных социальных выплат</t>
  </si>
  <si>
    <t>Публичные нормативные социальные выплаты гражданам</t>
  </si>
  <si>
    <t>310</t>
  </si>
  <si>
    <t>Обслуживание муниципального долга</t>
  </si>
  <si>
    <t>Жилищное хозяйство</t>
  </si>
  <si>
    <t>Коммунальное хозяйство</t>
  </si>
  <si>
    <t>Благоустройство</t>
  </si>
  <si>
    <t>Дошкольное образование</t>
  </si>
  <si>
    <t>Общее образование</t>
  </si>
  <si>
    <t>Профессиональная подготовка, переподготовка и повышение квалификации</t>
  </si>
  <si>
    <t>Молодежная политика и оздоровление детей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</si>
  <si>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</si>
  <si>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</si>
  <si>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</si>
  <si>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</si>
  <si>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</si>
  <si>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</si>
  <si>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 xml:space="preserve">Форма долгового обязательства </t>
  </si>
  <si>
    <t>Телевидение и радиовещание</t>
  </si>
  <si>
    <t>Обслуживание государственного внутреннего и муниципального долга</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</si>
  <si>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</si>
  <si>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</si>
  <si>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Обеспечение жильем отдельных категорий граждан, установленных ФЗ от 12.01.1995 №5-ФЗ "О ветеранах", в соответствии с Указом Президента РФ от 07.05.2008 №714 "Об обеспечении жильем ветеранов ВОВ 1941-1945 годов", часть 1, статья 1.</t>
  </si>
  <si>
    <t>Обеспечение жильем отдельных категорий граждан, установленных ФЗ от 12.01.1995 №5-ФЗ "О ветеранах", в соответствии с Указом Президента РФ от 07.05.2008 №714 "Об обеспечении жильем ветеранов ВОВ 1941-1945 годов", часть 2, статья 1.</t>
  </si>
  <si>
    <t>ВСЕГО:</t>
  </si>
  <si>
    <t>ОБЩЕГОСУДАРСТВЕННЫЕ ВОПРОСЫ</t>
  </si>
  <si>
    <t>01</t>
  </si>
  <si>
    <t>02</t>
  </si>
  <si>
    <t>Руководство и управление в сфере установленных функций органов государственной власти субъектов РФ и органов местного самоуправления</t>
  </si>
  <si>
    <t>Глава муниципального образования</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</si>
  <si>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</si>
  <si>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</si>
  <si>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</si>
  <si>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</si>
  <si>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</si>
  <si>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</si>
  <si>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</si>
  <si>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</si>
  <si>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ВСЕГО ЗА 1 КВАРТАЛ:</t>
  </si>
  <si>
    <t>Комитет по культуре, делам молодежи и спорту</t>
  </si>
  <si>
    <t>Оказание материальной помощи Левкиной Марине Владимировне, пострадавшей в результате пожара по адресу: г. Домодедово, д. Буняково, д. 31</t>
  </si>
  <si>
    <t>Оказание материальной помощи Жариковой Евгении Ивановне, пострадавшей в результате пожара по адресу: г. Домодедово, мкр. Белые Столбы, ул. Чкалова, д. 6А</t>
  </si>
  <si>
    <t>Оказание материальной помощи Егорычевой Валентине Игоревне, пострадавшей в результате пожара по адресу: г. Домодедово, мкр. Центральный, ул. 1-я Фабричная, д.3</t>
  </si>
  <si>
    <t>Оказание материальной помощи Любушкиной Ирине Васильевне, пострадавшей в результате пожара по адресу: г. Домодедово, мкр. Северный, ул. Овражная, д.3</t>
  </si>
  <si>
    <t>Оказание материальной помощи Любушкиной Ульяне Васильевне, пострадавшей в результате пожара по адресу: г. Домодедово, мкр. Северный, ул. Овражная, д.3</t>
  </si>
  <si>
    <t>Оказание материальной помощи Ражиной Галине Петровне, пострадавшей в результате пожара по адресу: г. Домодедово, д. Заболотье, д. 15</t>
  </si>
  <si>
    <t>Оказание материальной помощи Елисеевой Елене Борисовне, пострадавшей от пожара по адресу: г. Домодедово, мкр. Авиационный, просп. Ак. Туполева, д. 8, кв. 12</t>
  </si>
  <si>
    <t>Оказание материальной помощи Литвиненко Валентине Григорьевне, пострадавшей от пожара по адресу: г. Домодедово, мкр. Авиационный, просп. Ак. Туполева, д. 8, кв. 20</t>
  </si>
  <si>
    <t>Оказание материальной помощи Подгорной Анжелике Львовне, пострадавшей от пожара по адресу: г. Домодедово, мкр. Авиационный, просп. Ак. Туполева, д. 8, кв. 16</t>
  </si>
  <si>
    <t>Оказание материальной помощи Царевой Оксане Васильевне, пострадавшей от пожара по адресу: г. Домодедово, мкр. Авиационный, просп. Ак. Туполева, д. 8, кв. 24</t>
  </si>
  <si>
    <t>Оказание материальной помощи Храповицкому Михаилу Федоровичу, пострадавшему от пожара по адресу: г. Домодедово, мкр. Авиационный, просп. Ак. Туполева, д. 8, кв. 17</t>
  </si>
  <si>
    <t>Оказание материальной помощи Кусенко Алексею Николаевичу, пострадавшему от пожара по адресу: г. Домодедово, мкр. Авиационный, просп. Ак. Туполева, д. 8, кв. 17</t>
  </si>
  <si>
    <t>Субсидия бюджетным учреждениям</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</si>
  <si>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</si>
  <si>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Культура</t>
  </si>
  <si>
    <t xml:space="preserve">Мероприятия в сфере культуры и кинематографии </t>
  </si>
  <si>
    <t>Организация и содержание мест захоронения</t>
  </si>
  <si>
    <t>ОХРАНА ОКРУЖАЮЩЕЙ СРЕДЫ</t>
  </si>
  <si>
    <t>Природоохранные мероприятия</t>
  </si>
  <si>
    <t>ОБРАЗОВАНИЕ</t>
  </si>
  <si>
    <t>Невыясненные поступления, зачисляемые в  бюджеты городских округов</t>
  </si>
  <si>
    <t>1 06 06020 00 0000 110</t>
  </si>
  <si>
    <t>Земельный налог, взимаемый по ставкам, установленным в соответствии с подпунктом 2 пункта 1 статьи 394 НК РФ</t>
  </si>
  <si>
    <t>1 06 06022 04 0000 110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</si>
  <si>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</si>
  <si>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1 08 00000 00 0000 000</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</si>
  <si>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</si>
  <si>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</si>
  <si>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</si>
  <si>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</si>
  <si>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622</t>
  </si>
  <si>
    <t>Функционирование Правительства РФ, высших исполнительных органов государственной власти субъектов РФ, местных администраций</t>
  </si>
  <si>
    <t>04</t>
  </si>
  <si>
    <t>Муниципальная программа "Информационная и внутренняя политика городского округа Домодедово на 2014-2016 годы"</t>
  </si>
  <si>
    <t>1 16 18000 00 0000 140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</si>
  <si>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</si>
  <si>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</si>
  <si>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</si>
  <si>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</si>
  <si>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</si>
  <si>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</si>
  <si>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</si>
  <si>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</si>
  <si>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</si>
  <si>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 xml:space="preserve">000 01 02 00 00 00 0000 000 </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</si>
  <si>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</si>
  <si>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</si>
  <si>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</si>
  <si>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</si>
  <si>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</si>
  <si>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Администрация городского округа*</t>
  </si>
  <si>
    <t>Уточненный план</t>
  </si>
  <si>
    <t>Рз</t>
  </si>
  <si>
    <t>ПР</t>
  </si>
  <si>
    <t>ЦСР</t>
  </si>
  <si>
    <t>ВР</t>
  </si>
  <si>
    <t>Другие вопросы в области национальной экономики</t>
  </si>
  <si>
    <t>12</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</si>
  <si>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</si>
  <si>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Дефицит бюджета городского округа</t>
  </si>
  <si>
    <t>в % к общей сумме доходов без финансовой помощи от бюджетов других уровней</t>
  </si>
  <si>
    <t>Источники внутреннего финансирования дефицита бюджета</t>
  </si>
  <si>
    <t>Управление образования</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</si>
  <si>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</si>
  <si>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Устройство детских игровых и спортивных площадок на территории городского округа Домодедово на 2012-2015 годы</t>
  </si>
  <si>
    <t>Лесное хозяйство</t>
  </si>
  <si>
    <t>Транспорт</t>
  </si>
  <si>
    <t>Дорожное хозяйство (дорожные фонды)</t>
  </si>
  <si>
    <t>Связь и информатика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</si>
  <si>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</si>
  <si>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</si>
  <si>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</si>
  <si>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1 05 03010 01 0000 110</t>
  </si>
  <si>
    <t>1 09 04052 04 0000 110</t>
  </si>
  <si>
    <t>1 09 07012 04 0000 110</t>
  </si>
  <si>
    <t>1 09 07032 04 0000 110</t>
  </si>
  <si>
    <t>1 09 07052 04 0000 110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</si>
  <si>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</si>
  <si>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</si>
  <si>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</si>
  <si>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</si>
  <si>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</si>
  <si>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</si>
  <si>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</si>
  <si>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</si>
  <si>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</si>
  <si>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</si>
  <si>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</si>
  <si>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 xml:space="preserve">ИСТОЧНИКИ  ВНУТРЕННЕГО ФИНАНСИРОВАНИЯ  </t>
  </si>
  <si>
    <t xml:space="preserve">ПО КОДАМ КЛАССИФИКАЦИИ ИСТОЧНИКОВ </t>
  </si>
  <si>
    <t>ФИНАНСИРОВАНИЯ ДЕФИЦИТОВ БЮДЖЕТОВ</t>
  </si>
  <si>
    <t>31.12.14</t>
  </si>
  <si>
    <t>№3-40/39 от
15.03.2013</t>
  </si>
  <si>
    <t>Целевая субсидия на приобретение растительного грунта, приобретение и посадку  саженцев, деревьев, кустарников и цветников на Олимпийской аллее</t>
  </si>
  <si>
    <t>Целевая субсидия на изготовление и установку мемориальной доски воинам умершим от ран в годы Великой отечественной Войны, в госпитале, находившемся на территории психиатрической больницы имени О.В. Кербикова</t>
  </si>
  <si>
    <t>Целевая субсидия на ремонт наземных звезд на Аллее 60-летия Победы</t>
  </si>
  <si>
    <t>Целевая субсидия на ограждение контейнерной площадки, расположенной по адресу: д.Авдотьино, д.16</t>
  </si>
  <si>
    <t>Целевая субсидия на приобретение сортировочных урн в количестве 23 шт.</t>
  </si>
  <si>
    <t>Целевая субсидия на приобретение и установку цветочниц бетонных в количестве 20 шт.</t>
  </si>
  <si>
    <t>Муниципальная программа "Экология и окружающая среда городского округа Домодедово на 2014-2016 годы"</t>
  </si>
  <si>
    <t>07 0 0000</t>
  </si>
  <si>
    <t>Подпрограмма " Борьба с борщевиком Сосновского на территории городского округа  Домодедово на 2014-2016 годы"</t>
  </si>
  <si>
    <t>07 1 0000</t>
  </si>
  <si>
    <t>07 1 2410</t>
  </si>
  <si>
    <t>Подпрограмма "Экология и окружающая среда городского округа Домодедово на 2014-2016 годы"</t>
  </si>
  <si>
    <t>07 2 0000</t>
  </si>
  <si>
    <t>Мероприятия по экологии</t>
  </si>
  <si>
    <t>07 2 2410</t>
  </si>
  <si>
    <t>Муниципальная программа  "Образование городского округа Домодедово на 2014-2016 годы"</t>
  </si>
  <si>
    <t>03 0 0000</t>
  </si>
  <si>
    <t>Подпрограмма "Развитие дошкольного образования, в том числе сокращение очередности в дошкольных образовательных учреждениях в городском округе Домодедово на 2014-2016 годы"</t>
  </si>
  <si>
    <t>03 1 6211</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</si>
  <si>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</si>
  <si>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Целевая субсидия на мероприятия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t>
  </si>
  <si>
    <t>Закупка учебного оборудования и мебели для муниц.общеобраз.организаций - победителей областного конкурса муниц.общеобраз. организаций, разрабатывающих и внедряющих инновационные образовательные проекты</t>
  </si>
  <si>
    <t>03 2 6230</t>
  </si>
  <si>
    <t>03 2 7121</t>
  </si>
  <si>
    <t>Целевая субсидия на проведение капитального ремонта пищеблока</t>
  </si>
  <si>
    <t xml:space="preserve">Субсидии автономным учреждениям, в том числе: </t>
  </si>
  <si>
    <t>Целевая субсидия на софинансирование мероприятий по проведению капитального, текущего ремонта, ремонта и установке ограждений, ремонта кровель, замену оконных конструкций, выполнению противопожарных мероприятий в муниципальных общеобразовательных организациях</t>
  </si>
  <si>
    <t>Целевая субсидия на софинансирование мероприятий  в муниципальных общеобразовательных организациях внедряющих инновационные образовательные проекты на период 2014-2015 годов</t>
  </si>
  <si>
    <t xml:space="preserve">Целевая субсидия на проведение ремонта крылец  в муниципальных  образовательных учреждениях </t>
  </si>
  <si>
    <t>Целевая субсидия на приобретение учебников</t>
  </si>
  <si>
    <t>Целевая субсидия на приобретение оборудования</t>
  </si>
  <si>
    <t>Целевая субсидия на монтаж системы видеонаблюдения в  дошкольных образовательных учреждениях городского округа Домодедово</t>
  </si>
  <si>
    <t>Подпрограмма "Строительство, реконструкция, модернизация объектов образования городского округа Домодедово на 2014-2016 годы"</t>
  </si>
  <si>
    <t>03 5 0000</t>
  </si>
  <si>
    <t>03 5 7120</t>
  </si>
  <si>
    <t xml:space="preserve">Проектные работы по теплотрассе и ИТП, проектные работы по инженерным сетям, государственная экспертиза по объекту "Дошкольное образовательное учреждение на 160 мест по адресу: Московская область, г.Домодедово, ул. Дружбы" </t>
  </si>
  <si>
    <t>Целевая субсидия  на выполнение электромонтажных работ, ремонт помещений прачечных, ремонт фасадов, ремонт и установка системы вытяжной вентиляции пищеблока</t>
  </si>
  <si>
    <t>Целевая субсидия автономным учреждениям на капитальный ремонт, ремонт прогулочных веранд, технологическое присоединение к электрическим сетям, приобретение оборудования и инвентаря, выполнение электромонтажных работ, ремонт помещений прачечных, ремонт фасадов, ремонт и установка системы вытяжной вентиляции пищеблока</t>
  </si>
  <si>
    <t>Муниципальная программа  "Культура городского округа Домодедово на 2014-2016 годы"</t>
  </si>
  <si>
    <t>02 0 0000</t>
  </si>
  <si>
    <t>Подпрограмма "Развитие дополнительного образования в сфере культуры и искусства в городском округе Домодедово на 2014-2016 годы"</t>
  </si>
  <si>
    <t>02 2 0000</t>
  </si>
  <si>
    <t>Подпрограмма "Развитие дополнительного образования в сфере культуры и искусства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</si>
  <si>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02 2 6044</t>
  </si>
  <si>
    <t>02 2 8423</t>
  </si>
  <si>
    <t>Подпрограмма "Укрепление материально-технической базы учреждений культуры, искуства, спорта городского округа Домодедово на 2014-2016 годы"</t>
  </si>
  <si>
    <t>02 3 0000</t>
  </si>
  <si>
    <t>02 3 8423</t>
  </si>
  <si>
    <t>Муниципальная программа "Образование городского округа Домодедово на 2014-2016 годы"</t>
  </si>
  <si>
    <t>Подпрограмма "Развитие общего образования в городском округе Домодедово на 2014-2016 год"</t>
  </si>
  <si>
    <t>03 2 0000</t>
  </si>
  <si>
    <t>Предоставление субсидий бюджетным и автономным учреждениям</t>
  </si>
  <si>
    <t>03 2 5097</t>
  </si>
  <si>
    <t>Целевая субсидия на реализацию условий по созданию в общеобразовательных организациях, расположенных в сельской местности, условий для занятий физической культурой и спортом</t>
  </si>
  <si>
    <t>ВСЕГО ЗА ГОД</t>
  </si>
  <si>
    <t>ПРИМЕЧАНИЕ:</t>
  </si>
  <si>
    <t>Целевая субсидия на приобретение основных средств</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</si>
  <si>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</si>
  <si>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 xml:space="preserve">Приложение №  4   </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</si>
  <si>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</si>
  <si>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</si>
  <si>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Субвенции бюджетам муниципальных образований на ежемесячное денежное вознаграждение за классное руководство</t>
  </si>
  <si>
    <t>2 02 03021 04 0000 151</t>
  </si>
  <si>
    <t>Субвенции бюджетам городских округов на ежемесячное денежное вознаграждение за классное руководство</t>
  </si>
  <si>
    <t>2 02 03022 00 0000 151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</si>
  <si>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</si>
  <si>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</si>
  <si>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</si>
  <si>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2 02 03024 00 0000 151</t>
  </si>
  <si>
    <t>Субвенции местным бюджетам на выполнение передаваемых полномочий субъектов РФ</t>
  </si>
  <si>
    <t>2 02 03024 04 0000 151</t>
  </si>
  <si>
    <t>Субвенции бюджетам городских округов на выполнение передаваемых полномочий субъектов РФ</t>
  </si>
  <si>
    <t>2 02 03026 00 0000 151</t>
  </si>
  <si>
    <t>Единый налог на вмененный доход для отдельных видов деятельности</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</si>
  <si>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</si>
  <si>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</si>
  <si>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</si>
  <si>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Субсидии автономным учреждениям на иные цели</t>
  </si>
  <si>
    <t>Защита населения и территории от чрезвычайных ситуаций природного и техногенного характера, гражданская оборона</t>
  </si>
  <si>
    <t>09</t>
  </si>
  <si>
    <t>Предупреждение и ликвидация последствий чрезвычайных ситуаций и стихийных бедствий природного и техногенного характера</t>
  </si>
  <si>
    <t>Мероприятия по гражданской обороне</t>
  </si>
  <si>
    <t>Субсидии бюджетным  учреждениям на иные цели</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</si>
  <si>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</si>
  <si>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03 2 6221</t>
  </si>
  <si>
    <t>Подпрограмма "Обеспечение доступности общего образования для детей инвалидов с ограниченными возможностями здоровья в городском округе Домодедово на 2014-2016 годы"</t>
  </si>
  <si>
    <t>03 3 0000</t>
  </si>
  <si>
    <t>03 3 6220</t>
  </si>
  <si>
    <t xml:space="preserve">Частичная компенсация стоимости питания отдельным категориям обучающихся в школах - детских садах, школах начальных, неполных средних и средних </t>
  </si>
  <si>
    <t>03 2 6222</t>
  </si>
  <si>
    <t xml:space="preserve">Оплата расходов, связанных с компенсацией проезда к месту учебы и обратно отдельным категориям обучающихся в  школах - детских садах, школах начальных, неполных средних и средних </t>
  </si>
  <si>
    <t>03 2 6223</t>
  </si>
  <si>
    <t>Финансирование расходов на оплату труда работников школ- детских садов, школ начальных, неполных средних и средних,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</si>
  <si>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</si>
  <si>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 xml:space="preserve">Федеральное казначейство
</t>
  </si>
  <si>
    <t xml:space="preserve">Акцизы по подакцизным товарам (продукции), производимым на территории Российской Федерации
</t>
  </si>
  <si>
    <t xml:space="preserve">1 03 02000 01 0000 110
</t>
  </si>
  <si>
    <t xml:space="preserve">1 111 09044 04 0100 120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</si>
  <si>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</si>
  <si>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в соответствии с государственной программой Московской области "Образование Подмосковья" на 2014-2018 гг.</t>
  </si>
  <si>
    <t>Целевая субсидия на установку системы контроля управления доступом</t>
  </si>
  <si>
    <t>Софинансирование расходов на приобретение комплектов мультимедийного оборудования для демонстрации электронных образовательных ресурсов в муниципальных общеобразовательных организациях Московской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</si>
  <si>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</si>
  <si>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Резервные фонды</t>
  </si>
  <si>
    <t>0113</t>
  </si>
  <si>
    <t>Другие общегосударственные вопросы</t>
  </si>
  <si>
    <t>Управление  здравоохранения</t>
  </si>
  <si>
    <t>015</t>
  </si>
  <si>
    <t>1000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</si>
  <si>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family val="0"/>
      </rPr>
      <t>1</t>
    </r>
    <r>
      <rPr>
        <sz val="9"/>
        <rFont val="Times New Roman Cyr"/>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</si>
  <si>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</si>
  <si>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</si>
  <si>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</si>
  <si>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</si>
  <si>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</si>
  <si>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</si>
  <si>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</si>
  <si>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</si>
  <si>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</si>
  <si>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1 19 00000 00 0000 000</t>
  </si>
  <si>
    <t>ВОЗВРАТ ОСТАТКОВ СУБСИДИЙ, СУБВЕНЦИЙ И ИНЫХ МЕЖБЮДЖЕТНЫХ ТРАНСФЕРТОВ, ИМЕЮЩИХ ЦЕЛЕВОЕ НАЗНАЧЕНИЕ, ПРОШЛЫХ ЛЕТ</t>
  </si>
  <si>
    <t>1 19 04000 04 0000 151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</si>
  <si>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</si>
  <si>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2 00 00000 00 0000 000</t>
  </si>
  <si>
    <t>БЕЗВОЗМЕЗДНЫЕ ПОСТУПЛЕНИЯ</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</si>
  <si>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</si>
  <si>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</si>
  <si>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</si>
  <si>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</si>
  <si>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</si>
  <si>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</si>
  <si>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2 02 02000 00 0000 151</t>
  </si>
  <si>
    <t>Субсидии бюджетам субъектов РФ и муниципальных образований (межбюджетные субсидии)</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</si>
  <si>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</si>
  <si>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</si>
  <si>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</si>
  <si>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</si>
  <si>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Финансовое управление Администрации городского округа Домодедово Московской области</t>
  </si>
  <si>
    <t>024</t>
  </si>
  <si>
    <t>520</t>
  </si>
  <si>
    <t>Примечание:</t>
  </si>
  <si>
    <t>* Публичные нормативные обязательства</t>
  </si>
  <si>
    <t>Охрана объектов растительного и  животного мира и среды их обитания</t>
  </si>
  <si>
    <t>Субсидии бюджетным учреждениям</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</si>
  <si>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</si>
  <si>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</si>
  <si>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</si>
  <si>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</si>
  <si>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Муниципальная гарантия МУП "Теплосеть" на оплату энергоносителей</t>
  </si>
  <si>
    <t>0</t>
  </si>
  <si>
    <t>Раздел 1. ДОХОДЫ</t>
  </si>
  <si>
    <t>1 00 00000 00 0000 000</t>
  </si>
  <si>
    <t>НАЛОГОВЫЕ И НЕНАЛОГОВЫЕ ДОХОДЫ</t>
  </si>
  <si>
    <t>Выплата единовременной материальной помощи участникам Курской битвы (включая вдов)*</t>
  </si>
  <si>
    <t>Резервные фонды местных администраций</t>
  </si>
  <si>
    <t>13</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</si>
  <si>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</si>
  <si>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</si>
  <si>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 xml:space="preserve">МЕЖБЮДЖЕТНЫЕ ТРАНСФЕРТЫ ОБЩЕГО ХАРАКТЕРА БЮДЖЕТАМ СУБЪЕКТОВ РОССИЙСКОЙ ФЕДЕРАЦИИ И МУНИЦИПАЛЬНЫХ ОБРАЗОВАНИЙ </t>
  </si>
  <si>
    <t xml:space="preserve">Прочие межбюджетные трансферты общего характера </t>
  </si>
  <si>
    <t>ВСЕГО ЗА 1 ПОЛУГОДИЕ</t>
  </si>
  <si>
    <t>Целевая субсидия на устройство сквера "Домодедово в миниатюре" в  МАУК "ГПКиО "Елочки"</t>
  </si>
  <si>
    <t>Целевая субсидия на приобретение мебели в  МАУК "ГПКиО "Елочки"</t>
  </si>
  <si>
    <t>Целевая субсидия на топогеодезические работы в МАУК "ГПКиО "Елочки"</t>
  </si>
  <si>
    <t>Целевая субсидия на выполнение работ по благоустройству территории МАУК "ГПКиО "Елочки"</t>
  </si>
  <si>
    <t>Софинансирование расходов на проведение мероприятий по формированию в Московской области сети базовых общеобразовательных организаций, в которых созданы условия для инклюзивного образования детей-инвалидов</t>
  </si>
  <si>
    <t>Целевая субсидия на монтаж системы видеонаблюдения в   муниципальных общеобразовательных учреждениях</t>
  </si>
  <si>
    <t xml:space="preserve">07 </t>
  </si>
  <si>
    <t>03 3 5026</t>
  </si>
  <si>
    <t>Целевая субсидия на на поддержку реализации мероприятий Федеральной целевой программы развития образования на 2011-2015 годы по направлению "Распространение на всей территории Российской Федерации современных моделей успешной социализации детей"</t>
  </si>
  <si>
    <t>03 3 5027</t>
  </si>
  <si>
    <t>Целевая субсидия на мероприятия государственной программы Российской Федерации "Доступная среда" на 2011-2015 годы</t>
  </si>
  <si>
    <t>03 3 6241</t>
  </si>
  <si>
    <t>03 3 7121</t>
  </si>
  <si>
    <t>Целевая субсидия на софинансирование расходов на распространение современных моделей успешной социализации детей</t>
  </si>
  <si>
    <t>Целевая субсидия на софинансирование мероприятий для инклюзивного образования детей-инвалидов в МАОУ Заревская СОШ, МАОУ ДСШ №2, МАОУ ДСШ №4</t>
  </si>
  <si>
    <t>03 3 7122</t>
  </si>
  <si>
    <t>Подпрограмма "Развитие общего образования в городском округе Домодедово на 2014-2016 год" субсидия на повышение заработной платы работников  муниципальных учреждений в сфере образования, культуры, физической культуры и спорта с 01 мая 2014 года и 01 сентября 2014 года</t>
  </si>
  <si>
    <t>03 4 6044</t>
  </si>
  <si>
    <t>03 4 7121</t>
  </si>
  <si>
    <t>Целевая субсидия на проведение социально-психологического тестирования учащихся старших классов на предмет распространенности в общеобразовательных учреждениях факторов риска немедицинского употребления учащимися психоактивных веществ</t>
  </si>
  <si>
    <t>ДЕФИЦИТА  БЮДЖЕТА ГОРОДСКОГО ОКРУГА ЗА 2014 ГОД</t>
  </si>
  <si>
    <t>Объем привлечения средств в 2014 году (тыс.руб.)</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</si>
  <si>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</si>
  <si>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</si>
  <si>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</si>
  <si>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</si>
  <si>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</si>
  <si>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</si>
  <si>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</si>
  <si>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</si>
  <si>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</si>
  <si>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02 0 8450</t>
  </si>
  <si>
    <t>Субсидия на иные цели, в том числе:</t>
  </si>
  <si>
    <t>Подпрограмма "Развитие библиотечного дела в городском округе Домодедово на 2014-2016 годы"</t>
  </si>
  <si>
    <t>02 1 0000</t>
  </si>
  <si>
    <t>Подпрограмма "Развитие библиотечного дела в городском округе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года и с 1 сентября 2014 года</t>
  </si>
  <si>
    <t>02 1 6044</t>
  </si>
  <si>
    <t>02 1 8442</t>
  </si>
  <si>
    <t>Целевая субсидия на внедрение единого электронного читательского билета в МБУК "ЦБС"</t>
  </si>
  <si>
    <t>02 3 8440</t>
  </si>
  <si>
    <t>Выполнение работ по прокладке газопровода низкого давления для офисного здания МАУК "ГПКиО "Елочки", авторский и технический надзор</t>
  </si>
  <si>
    <t xml:space="preserve">02 3 8440 </t>
  </si>
  <si>
    <t>Целевая субсидия на приобретение и установку сплитсистемы</t>
  </si>
  <si>
    <t>02 3 8441</t>
  </si>
  <si>
    <t xml:space="preserve">08 </t>
  </si>
  <si>
    <t>02 3 8442</t>
  </si>
  <si>
    <t>Субсидия бюджетным учреждениям на иные цели</t>
  </si>
  <si>
    <t>Бюджетные инвестиции (Разработка ПСД и реконструкция Обелиска Славы воинам- домодедовцам погибшим в годы Великой Отечественной Войны и Аллеи Славы)</t>
  </si>
  <si>
    <t>410</t>
  </si>
  <si>
    <t>Подпрограмма "Обеспечение деятельности Комитета по культуре, делам молодежи и спорту Администрации городского округа Домодедово на 2014-2016 годы"</t>
  </si>
  <si>
    <t>02 4 0000</t>
  </si>
  <si>
    <t>Муниципальная программа "Культура городского округа Домодедово на 2014-2016 годы" субсидия на повышение заработной платы работников муниципальных учреждений в сферах образования, культуры, физической культуры и спорта с 1 мая 2014 и с 1 сентября 2014 года</t>
  </si>
  <si>
    <t>02 4 6044</t>
  </si>
  <si>
    <t>02 4 8002</t>
  </si>
  <si>
    <t>Расходы на выплату персоналу государственных (муниципальных) органов</t>
  </si>
  <si>
    <t>02 4 8452</t>
  </si>
  <si>
    <t>Целевая субсидия на приобретение основных средств, оборудования, комплектующих, запасных частей, моющих средств и инвентаря</t>
  </si>
  <si>
    <t>Муниципальная программа "Здравоохранение городского округа Домодедово на 2014-2016 годы"</t>
  </si>
  <si>
    <t>01 0 0000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</si>
  <si>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на 2014-2016 годы"</t>
  </si>
  <si>
    <t>01 2 0000</t>
  </si>
  <si>
    <t>01 2 9121</t>
  </si>
  <si>
    <t>Организация оказания медицинской помощи на территории муниципальных образований</t>
  </si>
  <si>
    <t>01 2 6207</t>
  </si>
  <si>
    <t>Социальная поддержка беременных женщин, кормящих матерей, детей в возрасте до трех лет, а также детей-сирот и детей, оставшихся без попечения родителей, находящихся в лечебно-профилактических учреждениях</t>
  </si>
  <si>
    <t>01 2 6208</t>
  </si>
  <si>
    <t>Подпрограмма "Укрепление материально-технической базы учреждений здравоохранения городского округа Домодедово на 2014-2016 годы"</t>
  </si>
  <si>
    <t>01 3 0000</t>
  </si>
  <si>
    <t xml:space="preserve">09 </t>
  </si>
  <si>
    <t>01 3 9130</t>
  </si>
  <si>
    <t>Субсидии бюджетным учреждениям в том числе:</t>
  </si>
  <si>
    <t>Целевая субсидия на капитальный и текущий ремонт, приобретение мебели,оборудования, материалов и основных средств, технологическое присоединение дополнительной мощности, устройство подвесного медицинского потолка, установка кнопок вызова медицинского персонала, противопожарные мероприятия, ремонт и устройство контейнерных площадок, установка контейнерных бачков, установка систем контроля доступа в отделения, ремонт автоматики распашных ворот, капитальный ремонт фасада перехода терапевтического корпуса</t>
  </si>
  <si>
    <t>Целевая субсидия на погашение кредиторской задолженности</t>
  </si>
  <si>
    <t>Целевая субсидия на проведение работ по демонтажу и перевозке рентгенаппарата КРД ОКО</t>
  </si>
  <si>
    <t>ЖИЛИЩНО-КОММУНАЛЬНОЕ ХОЗЯЙСТВО</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</si>
  <si>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</si>
  <si>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</si>
  <si>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</si>
  <si>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</si>
  <si>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</si>
  <si>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</si>
  <si>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600</t>
  </si>
  <si>
    <t>2 02 02088 04 0001 151</t>
  </si>
  <si>
    <t>Мероприятия по землеустройству и землепользованию</t>
  </si>
  <si>
    <t>Резервные средства</t>
  </si>
  <si>
    <t>870</t>
  </si>
  <si>
    <t>110</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</si>
  <si>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</si>
  <si>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</si>
  <si>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</si>
  <si>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</si>
  <si>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</si>
  <si>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Уличное освещение</t>
  </si>
  <si>
    <t>Субсидии бюджетным учреждениям на иные цели</t>
  </si>
  <si>
    <t>ДОХОДЫ ОТ ОКАЗАНИЯ ПЛАТНЫХ УСЛУГ И КОМПЕНСАЦИИ ЗАТРАТ ГОСУДАРСТВА</t>
  </si>
  <si>
    <t>1 13 02000 00 0000 130</t>
  </si>
  <si>
    <t>Лицензионные сборы</t>
  </si>
  <si>
    <t>1 13 02020 00 0000 130</t>
  </si>
  <si>
    <t>Сборы за выдачу лицензий на розничную продажу алкогольной продукции</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</si>
  <si>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</si>
  <si>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</si>
  <si>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1 13 02030 00 0000 130</t>
  </si>
  <si>
    <t>Прочие лицензионные сборы</t>
  </si>
  <si>
    <t>1 13 02034 01 0000 130</t>
  </si>
  <si>
    <t>Прочие сборы за выдачу лицензий органами управления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</si>
  <si>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</si>
  <si>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</si>
  <si>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</si>
  <si>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</si>
  <si>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</si>
  <si>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</si>
  <si>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</si>
  <si>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</si>
  <si>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240</t>
  </si>
  <si>
    <t>Уплата налога на имущество организаций и земельного налога</t>
  </si>
  <si>
    <t>Уточненный годовой объем резервного фонда</t>
  </si>
  <si>
    <t>Общий объем средств, выделенных из резервного фонда за отчетный период</t>
  </si>
  <si>
    <t>ФКР</t>
  </si>
  <si>
    <t>КЦСР</t>
  </si>
  <si>
    <t>КВР</t>
  </si>
  <si>
    <t>(тыс.руб.)</t>
  </si>
  <si>
    <t>от 22.06.2015 № 1-4/658</t>
  </si>
  <si>
    <t>от  22.06.2015 № 1-4/658</t>
  </si>
  <si>
    <t>от 22.06.2015  № 1-4/658</t>
  </si>
  <si>
    <r>
      <t xml:space="preserve">от </t>
    </r>
    <r>
      <rPr>
        <u val="single"/>
        <sz val="10"/>
        <rFont val="Times New Roman"/>
        <family val="1"/>
      </rPr>
      <t>22.06.2015</t>
    </r>
    <r>
      <rPr>
        <sz val="10"/>
        <rFont val="Times New Roman"/>
        <family val="1"/>
      </rPr>
      <t xml:space="preserve"> № </t>
    </r>
    <r>
      <rPr>
        <u val="single"/>
        <sz val="10"/>
        <rFont val="Times New Roman"/>
        <family val="1"/>
      </rPr>
      <t>1-4/658</t>
    </r>
  </si>
  <si>
    <t xml:space="preserve">от 22.06.2015 № 1-4/658   </t>
  </si>
  <si>
    <t xml:space="preserve">от 22.06.2015 № 1-4/658  </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</si>
</sst>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 numFmtId="214" formatCode="[$€-2]\ ###,000_);[Red]\([$€-2]\ ###,000\)"/>
    <numFmt numFmtId="215" formatCode="0.000"/>
    <numFmt numFmtId="216" formatCode="0.0000"/>
  </numFmts>
  <fonts count="97">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sz val="10"/>
      <name val="Times New Roman Cyr"/>
      <family val="1"/>
    </font>
    <font>
      <sz val="10"/>
      <name val="Times New Roman"/>
      <family val="1"/>
    </font>
    <font>
      <b/>
      <sz val="11"/>
      <name val="Times New Roman CYR"/>
      <family val="1"/>
    </font>
    <font>
      <sz val="9"/>
      <color indexed="8"/>
      <name val="Times New Roman"/>
      <family val="1"/>
    </font>
    <font>
      <sz val="10"/>
      <color indexed="12"/>
      <name val="Times New Roman Cyr"/>
      <family val="1"/>
    </font>
    <font>
      <sz val="8"/>
      <name val="Tahoma"/>
      <family val="0"/>
    </font>
    <font>
      <b/>
      <sz val="8"/>
      <name val="Tahoma"/>
      <family val="0"/>
    </font>
    <font>
      <sz val="12"/>
      <name val="Arial Cyr"/>
      <family val="0"/>
    </font>
    <font>
      <sz val="12"/>
      <color indexed="8"/>
      <name val="Times New Roman Cyr"/>
      <family val="1"/>
    </font>
    <font>
      <b/>
      <sz val="12"/>
      <color indexed="12"/>
      <name val="Times New Roman Cyr"/>
      <family val="1"/>
    </font>
    <font>
      <sz val="12"/>
      <color indexed="12"/>
      <name val="Times New Roman Cyr"/>
      <family val="1"/>
    </font>
    <font>
      <i/>
      <sz val="9"/>
      <name val="Times New Roman"/>
      <family val="1"/>
    </font>
    <font>
      <sz val="9"/>
      <color indexed="10"/>
      <name val="Times New Roman Cyr"/>
      <family val="1"/>
    </font>
    <font>
      <sz val="10"/>
      <name val="Arial"/>
      <family val="0"/>
    </font>
    <font>
      <sz val="8"/>
      <name val="Arial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b/>
      <u val="single"/>
      <sz val="10"/>
      <name val="Times New Roman Cyr"/>
      <family val="0"/>
    </font>
    <font>
      <b/>
      <sz val="10"/>
      <color indexed="12"/>
      <name val="Times New Roman Cyr"/>
      <family val="1"/>
    </font>
    <font>
      <vertAlign val="superscript"/>
      <sz val="9"/>
      <name val="Times New Roman Cyr"/>
      <family val="0"/>
    </font>
    <font>
      <sz val="11"/>
      <name val="Times New Roman Cyr"/>
      <family val="1"/>
    </font>
    <font>
      <b/>
      <sz val="14"/>
      <name val="Times New Roman"/>
      <family val="1"/>
    </font>
    <font>
      <sz val="10"/>
      <color indexed="12"/>
      <name val="Arial Cyr"/>
      <family val="0"/>
    </font>
    <font>
      <b/>
      <sz val="9"/>
      <color indexed="12"/>
      <name val="Times New Roman Cyr"/>
      <family val="1"/>
    </font>
    <font>
      <sz val="9"/>
      <color indexed="12"/>
      <name val="Times New Roman Cyr"/>
      <family val="1"/>
    </font>
    <font>
      <sz val="9"/>
      <color indexed="12"/>
      <name val="Times New Roman"/>
      <family val="1"/>
    </font>
    <font>
      <sz val="9"/>
      <color indexed="58"/>
      <name val="Times New Roman"/>
      <family val="1"/>
    </font>
    <font>
      <b/>
      <sz val="9"/>
      <color indexed="10"/>
      <name val="Times New Roman Cyr"/>
      <family val="0"/>
    </font>
    <font>
      <sz val="9"/>
      <color indexed="8"/>
      <name val="Times New Roman Cyr"/>
      <family val="0"/>
    </font>
    <font>
      <sz val="9"/>
      <color indexed="10"/>
      <name val="Times New Roman CYR"/>
      <family val="0"/>
    </font>
    <font>
      <b/>
      <sz val="11"/>
      <color indexed="12"/>
      <name val="Times New Roman Cyr"/>
      <family val="1"/>
    </font>
    <font>
      <sz val="10"/>
      <color indexed="10"/>
      <name val="Times New Roman CYR"/>
      <family val="0"/>
    </font>
    <font>
      <sz val="11"/>
      <color indexed="10"/>
      <name val="Times New Roman"/>
      <family val="1"/>
    </font>
    <font>
      <u val="single"/>
      <sz val="11"/>
      <name val="Times New Roman"/>
      <family val="1"/>
    </font>
    <font>
      <sz val="12"/>
      <color indexed="30"/>
      <name val="Times New Roman Cyr"/>
      <family val="1"/>
    </font>
    <font>
      <b/>
      <i/>
      <sz val="9"/>
      <name val="Times New Roman Cyr"/>
      <family val="0"/>
    </font>
    <font>
      <sz val="12"/>
      <color indexed="22"/>
      <name val="Times New Roman Cyr"/>
      <family val="0"/>
    </font>
    <font>
      <i/>
      <sz val="12"/>
      <name val="Times New Roman Cyr"/>
      <family val="0"/>
    </font>
    <font>
      <b/>
      <u val="single"/>
      <sz val="9"/>
      <name val="Times New Roman Cyr"/>
      <family val="0"/>
    </font>
    <font>
      <sz val="12"/>
      <color indexed="9"/>
      <name val="Times New Roman Cyr"/>
      <family val="0"/>
    </font>
    <font>
      <sz val="9"/>
      <name val="Arial Cyr"/>
      <family val="2"/>
    </font>
    <font>
      <sz val="10"/>
      <color indexed="10"/>
      <name val="Times New Roman Cyr"/>
      <family val="1"/>
    </font>
    <font>
      <u val="single"/>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hair"/>
      <right style="hair"/>
      <top style="hair"/>
      <bottom style="hair"/>
    </border>
    <border>
      <left style="hair"/>
      <right style="hair"/>
      <top style="hair"/>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medium"/>
      <bottom style="hair"/>
    </border>
    <border>
      <left style="thin">
        <color indexed="8"/>
      </left>
      <right style="thin">
        <color indexed="8"/>
      </right>
      <top style="thin">
        <color indexed="8"/>
      </top>
      <bottom style="thin">
        <color indexed="8"/>
      </bottom>
    </border>
    <border>
      <left style="thin"/>
      <right style="medium"/>
      <top style="medium"/>
      <bottom style="medium"/>
    </border>
    <border>
      <left style="medium"/>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hair"/>
      <right>
        <color indexed="63"/>
      </right>
      <top style="hair"/>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style="hair"/>
      <right style="thin"/>
      <top>
        <color indexed="63"/>
      </top>
      <bottom style="thin"/>
    </border>
    <border>
      <left style="hair"/>
      <right>
        <color indexed="63"/>
      </right>
      <top style="thin"/>
      <bottom style="thin"/>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color indexed="63"/>
      </right>
      <top style="hair"/>
      <bottom style="hair"/>
    </border>
    <border>
      <left style="medium"/>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style="hair"/>
      <right>
        <color indexed="63"/>
      </right>
      <top style="medium"/>
      <bottom style="hair"/>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1" applyNumberFormat="0" applyAlignment="0" applyProtection="0"/>
    <xf numFmtId="0" fontId="82" fillId="26" borderId="2" applyNumberFormat="0" applyAlignment="0" applyProtection="0"/>
    <xf numFmtId="0" fontId="83"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7" borderId="7" applyNumberFormat="0" applyAlignment="0" applyProtection="0"/>
    <xf numFmtId="0" fontId="89" fillId="0" borderId="0" applyNumberFormat="0" applyFill="0" applyBorder="0" applyAlignment="0" applyProtection="0"/>
    <xf numFmtId="0" fontId="90" fillId="28" borderId="0" applyNumberFormat="0" applyBorder="0" applyAlignment="0" applyProtection="0"/>
    <xf numFmtId="0" fontId="0" fillId="0" borderId="0">
      <alignment/>
      <protection/>
    </xf>
    <xf numFmtId="0" fontId="16" fillId="0" borderId="0">
      <alignment/>
      <protection/>
    </xf>
    <xf numFmtId="0" fontId="30" fillId="0" borderId="0">
      <alignment/>
      <protection/>
    </xf>
    <xf numFmtId="0" fontId="16" fillId="0" borderId="0">
      <alignment/>
      <protection/>
    </xf>
    <xf numFmtId="0" fontId="2" fillId="0" borderId="0" applyNumberFormat="0" applyFill="0" applyBorder="0" applyAlignment="0" applyProtection="0"/>
    <xf numFmtId="0" fontId="91" fillId="29" borderId="0" applyNumberFormat="0" applyBorder="0" applyAlignment="0" applyProtection="0"/>
    <xf numFmtId="0" fontId="9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5" fillId="31" borderId="0" applyNumberFormat="0" applyBorder="0" applyAlignment="0" applyProtection="0"/>
  </cellStyleXfs>
  <cellXfs count="614">
    <xf numFmtId="0" fontId="0" fillId="0" borderId="0" xfId="0" applyAlignment="1">
      <alignment/>
    </xf>
    <xf numFmtId="0" fontId="17" fillId="0" borderId="0" xfId="0" applyFont="1" applyAlignment="1">
      <alignment/>
    </xf>
    <xf numFmtId="165" fontId="14" fillId="0" borderId="0" xfId="0" applyNumberFormat="1" applyFont="1" applyFill="1" applyAlignment="1">
      <alignment horizontal="center"/>
    </xf>
    <xf numFmtId="3" fontId="17" fillId="0" borderId="0" xfId="0" applyNumberFormat="1" applyFont="1" applyBorder="1" applyAlignment="1">
      <alignment horizontal="right"/>
    </xf>
    <xf numFmtId="3" fontId="17"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0" fontId="17" fillId="0" borderId="0" xfId="0" applyFont="1" applyBorder="1" applyAlignment="1">
      <alignment/>
    </xf>
    <xf numFmtId="0" fontId="17"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xf>
    <xf numFmtId="0" fontId="16" fillId="0" borderId="0" xfId="0" applyFont="1" applyFill="1" applyAlignment="1">
      <alignment horizontal="center"/>
    </xf>
    <xf numFmtId="0" fontId="11" fillId="0" borderId="10" xfId="0" applyFont="1" applyFill="1" applyBorder="1" applyAlignment="1">
      <alignment horizontal="center" vertical="center"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0" fillId="0" borderId="0" xfId="0" applyFill="1" applyAlignment="1">
      <alignment/>
    </xf>
    <xf numFmtId="0" fontId="16" fillId="0" borderId="0" xfId="0" applyFont="1" applyFill="1" applyAlignment="1">
      <alignment/>
    </xf>
    <xf numFmtId="0" fontId="16" fillId="0" borderId="0" xfId="0" applyFont="1" applyFill="1" applyAlignment="1">
      <alignment horizontal="left"/>
    </xf>
    <xf numFmtId="0" fontId="16" fillId="0" borderId="0" xfId="0" applyFont="1" applyFill="1" applyAlignment="1">
      <alignment/>
    </xf>
    <xf numFmtId="0" fontId="17" fillId="0" borderId="0" xfId="0" applyFont="1" applyFill="1" applyAlignment="1">
      <alignment/>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1" xfId="0" applyFont="1" applyFill="1" applyBorder="1" applyAlignment="1">
      <alignment vertical="center" wrapText="1"/>
    </xf>
    <xf numFmtId="3" fontId="17" fillId="0" borderId="11" xfId="0" applyNumberFormat="1" applyFont="1" applyFill="1" applyBorder="1" applyAlignment="1" applyProtection="1">
      <alignment horizontal="center"/>
      <protection locked="0"/>
    </xf>
    <xf numFmtId="165" fontId="17" fillId="0" borderId="11" xfId="0" applyNumberFormat="1" applyFont="1" applyFill="1" applyBorder="1" applyAlignment="1" applyProtection="1">
      <alignment horizontal="center"/>
      <protection locked="0"/>
    </xf>
    <xf numFmtId="0" fontId="17" fillId="0" borderId="11" xfId="0" applyFont="1" applyFill="1" applyBorder="1" applyAlignment="1">
      <alignment/>
    </xf>
    <xf numFmtId="165" fontId="12" fillId="0" borderId="11" xfId="0" applyNumberFormat="1" applyFont="1" applyFill="1" applyBorder="1" applyAlignment="1" applyProtection="1">
      <alignment horizontal="center"/>
      <protection locked="0"/>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xf>
    <xf numFmtId="0" fontId="12" fillId="0" borderId="11" xfId="0" applyFont="1" applyFill="1" applyBorder="1" applyAlignment="1">
      <alignment horizontal="center"/>
    </xf>
    <xf numFmtId="0" fontId="0" fillId="0" borderId="13" xfId="0" applyFill="1" applyBorder="1" applyAlignment="1">
      <alignment/>
    </xf>
    <xf numFmtId="3" fontId="17" fillId="0" borderId="13" xfId="0" applyNumberFormat="1" applyFont="1" applyFill="1" applyBorder="1" applyAlignment="1" applyProtection="1">
      <alignment horizontal="center"/>
      <protection locked="0"/>
    </xf>
    <xf numFmtId="3" fontId="17" fillId="0" borderId="13" xfId="0" applyNumberFormat="1" applyFont="1" applyFill="1" applyBorder="1" applyAlignment="1" applyProtection="1">
      <alignment horizontal="center" vertical="center"/>
      <protection locked="0"/>
    </xf>
    <xf numFmtId="3" fontId="12" fillId="0" borderId="13" xfId="0" applyNumberFormat="1" applyFont="1" applyFill="1" applyBorder="1" applyAlignment="1">
      <alignment horizontal="center"/>
    </xf>
    <xf numFmtId="0" fontId="0" fillId="0" borderId="14" xfId="0" applyFill="1" applyBorder="1" applyAlignment="1">
      <alignment/>
    </xf>
    <xf numFmtId="0" fontId="0" fillId="0" borderId="0" xfId="0" applyFill="1" applyBorder="1" applyAlignment="1">
      <alignment/>
    </xf>
    <xf numFmtId="0" fontId="17" fillId="0" borderId="0" xfId="0" applyFont="1" applyFill="1" applyAlignment="1">
      <alignment/>
    </xf>
    <xf numFmtId="0" fontId="9" fillId="0" borderId="0" xfId="0" applyFont="1" applyAlignment="1">
      <alignment horizontal="left" vertical="top"/>
    </xf>
    <xf numFmtId="0" fontId="24" fillId="0" borderId="0" xfId="0" applyFont="1" applyAlignment="1">
      <alignment/>
    </xf>
    <xf numFmtId="49" fontId="14" fillId="32" borderId="11" xfId="0" applyNumberFormat="1" applyFont="1" applyFill="1" applyBorder="1" applyAlignment="1">
      <alignment horizontal="center" vertical="center"/>
    </xf>
    <xf numFmtId="0" fontId="14" fillId="32" borderId="11" xfId="0" applyFont="1" applyFill="1" applyBorder="1" applyAlignment="1">
      <alignment vertical="center" wrapText="1"/>
    </xf>
    <xf numFmtId="0" fontId="16" fillId="0" borderId="11" xfId="0" applyFont="1" applyBorder="1" applyAlignment="1">
      <alignment horizontal="center" vertical="center" wrapText="1"/>
    </xf>
    <xf numFmtId="0" fontId="16" fillId="0" borderId="0" xfId="0" applyFont="1" applyAlignment="1">
      <alignment/>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11" fillId="0" borderId="17" xfId="0" applyFont="1" applyFill="1" applyBorder="1" applyAlignment="1">
      <alignment horizontal="center" vertical="center"/>
    </xf>
    <xf numFmtId="0" fontId="6" fillId="0" borderId="18" xfId="0" applyFont="1" applyFill="1" applyBorder="1" applyAlignment="1">
      <alignment horizontal="center" vertical="top" wrapText="1"/>
    </xf>
    <xf numFmtId="0" fontId="15" fillId="0" borderId="0" xfId="0" applyFont="1" applyFill="1" applyAlignment="1">
      <alignment/>
    </xf>
    <xf numFmtId="3" fontId="15" fillId="0" borderId="0" xfId="0" applyNumberFormat="1" applyFont="1" applyFill="1" applyAlignment="1">
      <alignment/>
    </xf>
    <xf numFmtId="0" fontId="12" fillId="33" borderId="18" xfId="56" applyFont="1" applyFill="1" applyBorder="1" applyAlignment="1" applyProtection="1">
      <alignment horizontal="left" wrapText="1"/>
      <protection hidden="1"/>
    </xf>
    <xf numFmtId="49" fontId="13" fillId="33" borderId="18" xfId="56" applyNumberFormat="1" applyFont="1" applyFill="1" applyBorder="1" applyAlignment="1" applyProtection="1">
      <alignment horizontal="center" wrapText="1"/>
      <protection hidden="1"/>
    </xf>
    <xf numFmtId="165" fontId="14" fillId="33" borderId="18" xfId="56" applyNumberFormat="1" applyFont="1" applyFill="1" applyBorder="1" applyAlignment="1" applyProtection="1">
      <alignment horizontal="right"/>
      <protection hidden="1"/>
    </xf>
    <xf numFmtId="49" fontId="11" fillId="33" borderId="18" xfId="56" applyNumberFormat="1" applyFont="1" applyFill="1" applyBorder="1" applyAlignment="1" applyProtection="1">
      <alignment horizontal="center" wrapText="1"/>
      <protection hidden="1"/>
    </xf>
    <xf numFmtId="49" fontId="11" fillId="0" borderId="18" xfId="56" applyNumberFormat="1" applyFont="1" applyFill="1" applyBorder="1" applyAlignment="1" applyProtection="1">
      <alignment horizontal="center" wrapText="1"/>
      <protection hidden="1"/>
    </xf>
    <xf numFmtId="165" fontId="16" fillId="0" borderId="18" xfId="56" applyNumberFormat="1" applyFont="1" applyFill="1" applyBorder="1" applyAlignment="1" applyProtection="1">
      <alignment horizontal="right"/>
      <protection hidden="1"/>
    </xf>
    <xf numFmtId="49" fontId="11" fillId="0" borderId="18" xfId="56" applyNumberFormat="1" applyFont="1" applyFill="1" applyBorder="1" applyAlignment="1" applyProtection="1">
      <alignment horizontal="center" wrapText="1"/>
      <protection hidden="1"/>
    </xf>
    <xf numFmtId="0" fontId="10" fillId="0" borderId="18" xfId="56" applyFont="1" applyFill="1" applyBorder="1" applyAlignment="1" applyProtection="1">
      <alignment horizontal="left" vertical="center" wrapText="1"/>
      <protection hidden="1"/>
    </xf>
    <xf numFmtId="0" fontId="11" fillId="0" borderId="18" xfId="56" applyFont="1" applyFill="1" applyBorder="1" applyAlignment="1" applyProtection="1">
      <alignment horizontal="left" vertical="center" wrapText="1"/>
      <protection hidden="1"/>
    </xf>
    <xf numFmtId="0" fontId="17" fillId="0" borderId="18" xfId="56" applyFont="1" applyFill="1" applyBorder="1" applyAlignment="1" applyProtection="1">
      <alignment horizontal="left" vertical="center" wrapText="1"/>
      <protection hidden="1"/>
    </xf>
    <xf numFmtId="49" fontId="11" fillId="0" borderId="18" xfId="56" applyNumberFormat="1" applyFont="1" applyFill="1" applyBorder="1" applyAlignment="1" applyProtection="1">
      <alignment horizontal="left" wrapText="1"/>
      <protection hidden="1"/>
    </xf>
    <xf numFmtId="165" fontId="16" fillId="0" borderId="18" xfId="56" applyNumberFormat="1" applyFont="1" applyFill="1" applyBorder="1" applyAlignment="1" applyProtection="1">
      <alignment horizontal="right"/>
      <protection hidden="1"/>
    </xf>
    <xf numFmtId="0" fontId="13" fillId="0" borderId="18" xfId="56" applyFont="1" applyFill="1" applyBorder="1" applyAlignment="1" applyProtection="1">
      <alignment horizontal="left" vertical="center" wrapText="1"/>
      <protection hidden="1"/>
    </xf>
    <xf numFmtId="0" fontId="11" fillId="0" borderId="18" xfId="56" applyFont="1" applyFill="1" applyBorder="1" applyAlignment="1" applyProtection="1">
      <alignment horizontal="left" vertical="center" wrapText="1"/>
      <protection hidden="1"/>
    </xf>
    <xf numFmtId="0" fontId="10" fillId="0" borderId="18" xfId="56" applyFont="1" applyFill="1" applyBorder="1" applyAlignment="1" applyProtection="1">
      <alignment horizontal="left" vertical="center" wrapText="1"/>
      <protection hidden="1"/>
    </xf>
    <xf numFmtId="0" fontId="11" fillId="0" borderId="18" xfId="0" applyFont="1" applyFill="1" applyBorder="1" applyAlignment="1" applyProtection="1">
      <alignment wrapText="1"/>
      <protection hidden="1"/>
    </xf>
    <xf numFmtId="0" fontId="13" fillId="0" borderId="18" xfId="0" applyFont="1" applyFill="1" applyBorder="1" applyAlignment="1" applyProtection="1">
      <alignment wrapText="1"/>
      <protection hidden="1"/>
    </xf>
    <xf numFmtId="0" fontId="12" fillId="33" borderId="18" xfId="56" applyFont="1" applyFill="1" applyBorder="1" applyProtection="1">
      <alignment/>
      <protection hidden="1"/>
    </xf>
    <xf numFmtId="0" fontId="14" fillId="33" borderId="18" xfId="56" applyFont="1" applyFill="1" applyBorder="1" applyProtection="1">
      <alignment/>
      <protection hidden="1"/>
    </xf>
    <xf numFmtId="49" fontId="11" fillId="0" borderId="18" xfId="56" applyNumberFormat="1" applyFont="1" applyFill="1" applyBorder="1" applyAlignment="1" applyProtection="1">
      <alignment horizontal="center" vertical="center" wrapText="1"/>
      <protection hidden="1"/>
    </xf>
    <xf numFmtId="49" fontId="13" fillId="0" borderId="18" xfId="56" applyNumberFormat="1" applyFont="1" applyFill="1" applyBorder="1" applyAlignment="1" applyProtection="1">
      <alignment horizontal="center" vertical="center" wrapText="1"/>
      <protection hidden="1"/>
    </xf>
    <xf numFmtId="49" fontId="13" fillId="0" borderId="18" xfId="56" applyNumberFormat="1" applyFont="1" applyFill="1" applyBorder="1" applyAlignment="1" applyProtection="1">
      <alignment horizontal="left" vertical="center" wrapText="1"/>
      <protection hidden="1"/>
    </xf>
    <xf numFmtId="0" fontId="13" fillId="0" borderId="18" xfId="56" applyFont="1" applyFill="1" applyBorder="1" applyAlignment="1" applyProtection="1">
      <alignment horizontal="left" vertical="center" wrapText="1"/>
      <protection hidden="1"/>
    </xf>
    <xf numFmtId="0" fontId="10" fillId="0" borderId="18" xfId="0" applyFont="1" applyFill="1" applyBorder="1" applyAlignment="1" applyProtection="1">
      <alignment wrapText="1"/>
      <protection hidden="1"/>
    </xf>
    <xf numFmtId="0" fontId="11" fillId="0" borderId="18" xfId="0" applyFont="1" applyFill="1" applyBorder="1" applyAlignment="1" applyProtection="1">
      <alignment wrapText="1"/>
      <protection hidden="1"/>
    </xf>
    <xf numFmtId="49" fontId="11" fillId="0" borderId="18" xfId="56" applyNumberFormat="1" applyFont="1" applyFill="1" applyBorder="1" applyAlignment="1" applyProtection="1">
      <alignment horizontal="center"/>
      <protection hidden="1"/>
    </xf>
    <xf numFmtId="0" fontId="13" fillId="0" borderId="18" xfId="0" applyFont="1" applyFill="1" applyBorder="1" applyAlignment="1" applyProtection="1">
      <alignment wrapText="1"/>
      <protection hidden="1"/>
    </xf>
    <xf numFmtId="0" fontId="11" fillId="0" borderId="18" xfId="56" applyFont="1" applyFill="1" applyBorder="1" applyAlignment="1" applyProtection="1">
      <alignment wrapText="1"/>
      <protection hidden="1"/>
    </xf>
    <xf numFmtId="0" fontId="17" fillId="0" borderId="18" xfId="56" applyFont="1" applyFill="1" applyBorder="1" applyAlignment="1" applyProtection="1">
      <alignment horizontal="left" vertical="center" wrapText="1"/>
      <protection hidden="1"/>
    </xf>
    <xf numFmtId="0" fontId="13" fillId="0" borderId="18" xfId="0" applyFont="1" applyBorder="1" applyAlignment="1" applyProtection="1">
      <alignment horizontal="left" wrapText="1"/>
      <protection hidden="1"/>
    </xf>
    <xf numFmtId="49" fontId="13" fillId="0" borderId="18" xfId="56" applyNumberFormat="1" applyFont="1" applyFill="1" applyBorder="1" applyAlignment="1" applyProtection="1">
      <alignment horizontal="center" wrapText="1"/>
      <protection hidden="1"/>
    </xf>
    <xf numFmtId="3" fontId="12" fillId="0" borderId="11" xfId="0" applyNumberFormat="1" applyFont="1" applyFill="1" applyBorder="1" applyAlignment="1" applyProtection="1">
      <alignment horizontal="center"/>
      <protection locked="0"/>
    </xf>
    <xf numFmtId="49" fontId="17" fillId="0" borderId="11" xfId="0" applyNumberFormat="1" applyFont="1" applyFill="1" applyBorder="1" applyAlignment="1" applyProtection="1">
      <alignment horizontal="center"/>
      <protection locked="0"/>
    </xf>
    <xf numFmtId="49" fontId="12" fillId="0" borderId="11" xfId="0" applyNumberFormat="1" applyFont="1" applyFill="1" applyBorder="1" applyAlignment="1">
      <alignment horizontal="center"/>
    </xf>
    <xf numFmtId="0" fontId="8" fillId="0" borderId="18" xfId="0" applyFont="1" applyBorder="1" applyAlignment="1" applyProtection="1">
      <alignment horizontal="justify" vertical="top" wrapText="1"/>
      <protection hidden="1"/>
    </xf>
    <xf numFmtId="0" fontId="6" fillId="0" borderId="19" xfId="0" applyFont="1" applyFill="1" applyBorder="1" applyAlignment="1">
      <alignment horizontal="center" vertical="top" wrapText="1"/>
    </xf>
    <xf numFmtId="0" fontId="28" fillId="0" borderId="0" xfId="0" applyFont="1" applyBorder="1" applyAlignment="1" applyProtection="1">
      <alignment horizontal="justify" vertical="top" wrapText="1"/>
      <protection hidden="1"/>
    </xf>
    <xf numFmtId="0" fontId="17"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5" fillId="0" borderId="0" xfId="0" applyFont="1" applyFill="1" applyBorder="1" applyAlignment="1">
      <alignment/>
    </xf>
    <xf numFmtId="0" fontId="28" fillId="0" borderId="19" xfId="0" applyFont="1" applyBorder="1" applyAlignment="1" applyProtection="1">
      <alignment horizontal="justify" vertical="top" wrapText="1"/>
      <protection hidden="1"/>
    </xf>
    <xf numFmtId="0" fontId="24" fillId="0" borderId="0" xfId="0" applyFont="1" applyAlignment="1">
      <alignment horizontal="center" vertical="center"/>
    </xf>
    <xf numFmtId="4" fontId="24" fillId="0" borderId="0" xfId="0" applyNumberFormat="1" applyFont="1" applyAlignment="1">
      <alignment/>
    </xf>
    <xf numFmtId="0" fontId="24" fillId="0" borderId="0" xfId="0" applyFont="1" applyAlignment="1">
      <alignment horizontal="right" vertical="center"/>
    </xf>
    <xf numFmtId="4" fontId="4" fillId="0" borderId="0" xfId="0" applyNumberFormat="1" applyFont="1" applyAlignment="1">
      <alignment horizontal="center"/>
    </xf>
    <xf numFmtId="49" fontId="16"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0" fontId="17" fillId="0" borderId="11" xfId="0" applyNumberFormat="1" applyFont="1" applyFill="1" applyBorder="1" applyAlignment="1" applyProtection="1">
      <alignment horizontal="center"/>
      <protection locked="0"/>
    </xf>
    <xf numFmtId="0" fontId="17" fillId="0" borderId="0" xfId="54" applyFont="1" applyFill="1">
      <alignment/>
      <protection/>
    </xf>
    <xf numFmtId="0" fontId="17" fillId="0" borderId="0" xfId="54" applyFont="1" applyFill="1" applyAlignment="1">
      <alignment horizontal="left"/>
      <protection/>
    </xf>
    <xf numFmtId="0" fontId="17" fillId="0" borderId="0" xfId="54" applyFont="1" applyFill="1" applyAlignment="1">
      <alignment/>
      <protection/>
    </xf>
    <xf numFmtId="0" fontId="12" fillId="0" borderId="0" xfId="54" applyFont="1" applyFill="1">
      <alignment/>
      <protection/>
    </xf>
    <xf numFmtId="0" fontId="17" fillId="0" borderId="0" xfId="53" applyFont="1" applyFill="1">
      <alignment/>
      <protection/>
    </xf>
    <xf numFmtId="0" fontId="17" fillId="0" borderId="20" xfId="53" applyFont="1" applyFill="1" applyBorder="1" applyAlignment="1">
      <alignment horizontal="center" vertical="center" textRotation="90" wrapText="1"/>
      <protection/>
    </xf>
    <xf numFmtId="0" fontId="17" fillId="0" borderId="21" xfId="53" applyFont="1" applyFill="1" applyBorder="1" applyAlignment="1">
      <alignment horizontal="center" vertical="center" textRotation="90" wrapText="1"/>
      <protection/>
    </xf>
    <xf numFmtId="0" fontId="17" fillId="0" borderId="22" xfId="53" applyFont="1" applyFill="1" applyBorder="1" applyAlignment="1">
      <alignment horizontal="center"/>
      <protection/>
    </xf>
    <xf numFmtId="0" fontId="17" fillId="0" borderId="0" xfId="53" applyFont="1" applyFill="1" applyBorder="1">
      <alignment/>
      <protection/>
    </xf>
    <xf numFmtId="0" fontId="17" fillId="0" borderId="0" xfId="53" applyFont="1" applyFill="1" applyBorder="1" applyAlignment="1">
      <alignment wrapText="1"/>
      <protection/>
    </xf>
    <xf numFmtId="0" fontId="17" fillId="0" borderId="11" xfId="53" applyFont="1" applyFill="1" applyBorder="1" applyAlignment="1">
      <alignment horizontal="center" vertical="top"/>
      <protection/>
    </xf>
    <xf numFmtId="0" fontId="17" fillId="0" borderId="11" xfId="53" applyFont="1" applyFill="1" applyBorder="1" applyAlignment="1">
      <alignment vertical="top" wrapText="1"/>
      <protection/>
    </xf>
    <xf numFmtId="3" fontId="17" fillId="0" borderId="11" xfId="53" applyNumberFormat="1" applyFont="1" applyFill="1" applyBorder="1" applyAlignment="1">
      <alignment horizontal="right" vertical="top"/>
      <protection/>
    </xf>
    <xf numFmtId="14" fontId="17" fillId="0" borderId="11" xfId="53" applyNumberFormat="1" applyFont="1" applyFill="1" applyBorder="1" applyAlignment="1">
      <alignment vertical="top"/>
      <protection/>
    </xf>
    <xf numFmtId="3" fontId="21" fillId="0" borderId="11" xfId="53" applyNumberFormat="1" applyFont="1" applyFill="1" applyBorder="1" applyAlignment="1">
      <alignment horizontal="right" vertical="top"/>
      <protection/>
    </xf>
    <xf numFmtId="0" fontId="17" fillId="0" borderId="11" xfId="53" applyFont="1" applyFill="1" applyBorder="1">
      <alignment/>
      <protection/>
    </xf>
    <xf numFmtId="0" fontId="12" fillId="0" borderId="11" xfId="53" applyFont="1" applyFill="1" applyBorder="1">
      <alignment/>
      <protection/>
    </xf>
    <xf numFmtId="3" fontId="12" fillId="0" borderId="11" xfId="53" applyNumberFormat="1" applyFont="1" applyFill="1" applyBorder="1" applyAlignment="1">
      <alignment horizontal="right"/>
      <protection/>
    </xf>
    <xf numFmtId="0" fontId="19" fillId="0" borderId="0" xfId="54" applyFont="1" applyFill="1">
      <alignment/>
      <protection/>
    </xf>
    <xf numFmtId="0" fontId="30" fillId="0" borderId="0" xfId="55" applyFill="1">
      <alignment/>
      <protection/>
    </xf>
    <xf numFmtId="49" fontId="17" fillId="0" borderId="11" xfId="53" applyNumberFormat="1" applyFont="1" applyFill="1" applyBorder="1" applyAlignment="1">
      <alignment horizontal="center" vertical="top" wrapText="1"/>
      <protection/>
    </xf>
    <xf numFmtId="0" fontId="30" fillId="0" borderId="11" xfId="55" applyFill="1" applyBorder="1">
      <alignment/>
      <protection/>
    </xf>
    <xf numFmtId="3" fontId="12" fillId="0" borderId="11" xfId="53" applyNumberFormat="1" applyFont="1" applyFill="1" applyBorder="1" applyAlignment="1">
      <alignment horizontal="right" vertical="top"/>
      <protection/>
    </xf>
    <xf numFmtId="165" fontId="16" fillId="0" borderId="18" xfId="0" applyNumberFormat="1" applyFont="1" applyFill="1" applyBorder="1" applyAlignment="1" applyProtection="1">
      <alignment horizontal="right"/>
      <protection hidden="1"/>
    </xf>
    <xf numFmtId="165" fontId="27" fillId="0" borderId="18" xfId="0" applyNumberFormat="1" applyFont="1" applyFill="1" applyBorder="1" applyAlignment="1" applyProtection="1">
      <alignment horizontal="right"/>
      <protection hidden="1"/>
    </xf>
    <xf numFmtId="49" fontId="13" fillId="0" borderId="18" xfId="56" applyNumberFormat="1" applyFont="1" applyFill="1" applyBorder="1" applyAlignment="1" applyProtection="1">
      <alignment horizontal="center" vertical="center"/>
      <protection hidden="1"/>
    </xf>
    <xf numFmtId="49" fontId="11" fillId="0" borderId="18" xfId="56" applyNumberFormat="1" applyFont="1" applyFill="1" applyBorder="1" applyAlignment="1" applyProtection="1">
      <alignment horizontal="center" vertical="center" wrapText="1"/>
      <protection hidden="1"/>
    </xf>
    <xf numFmtId="0" fontId="12" fillId="0" borderId="18" xfId="56" applyFont="1" applyFill="1" applyBorder="1" applyAlignment="1" applyProtection="1">
      <alignment horizontal="left" vertical="center" wrapText="1"/>
      <protection hidden="1"/>
    </xf>
    <xf numFmtId="49" fontId="13" fillId="0" borderId="18" xfId="56" applyNumberFormat="1" applyFont="1" applyFill="1" applyBorder="1" applyAlignment="1" applyProtection="1">
      <alignment horizontal="center"/>
      <protection hidden="1"/>
    </xf>
    <xf numFmtId="0" fontId="11" fillId="0" borderId="18" xfId="0" applyFont="1" applyBorder="1" applyAlignment="1" applyProtection="1">
      <alignment horizontal="left" wrapText="1"/>
      <protection hidden="1"/>
    </xf>
    <xf numFmtId="4" fontId="16"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3" fontId="16" fillId="32" borderId="11" xfId="0" applyNumberFormat="1" applyFont="1" applyFill="1" applyBorder="1" applyAlignment="1">
      <alignment vertical="center"/>
    </xf>
    <xf numFmtId="4" fontId="14" fillId="32" borderId="11" xfId="0" applyNumberFormat="1" applyFont="1" applyFill="1" applyBorder="1" applyAlignment="1">
      <alignment horizontal="center" vertical="center"/>
    </xf>
    <xf numFmtId="0" fontId="16" fillId="32" borderId="11" xfId="0" applyFont="1" applyFill="1" applyBorder="1" applyAlignment="1">
      <alignment vertical="center" wrapText="1"/>
    </xf>
    <xf numFmtId="0" fontId="16" fillId="0" borderId="11" xfId="0" applyFont="1" applyFill="1" applyBorder="1" applyAlignment="1">
      <alignment vertical="center" wrapText="1"/>
    </xf>
    <xf numFmtId="49" fontId="16" fillId="0" borderId="11" xfId="0" applyNumberFormat="1" applyFont="1" applyFill="1" applyBorder="1" applyAlignment="1">
      <alignment horizontal="center" vertical="center"/>
    </xf>
    <xf numFmtId="49" fontId="14" fillId="32" borderId="11" xfId="0" applyNumberFormat="1" applyFont="1" applyFill="1" applyBorder="1" applyAlignment="1">
      <alignment horizontal="center" vertical="center" wrapText="1"/>
    </xf>
    <xf numFmtId="213" fontId="14" fillId="32"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6" fillId="0" borderId="11" xfId="0" applyFont="1" applyFill="1" applyBorder="1" applyAlignment="1">
      <alignment vertical="center" wrapText="1"/>
    </xf>
    <xf numFmtId="4" fontId="16" fillId="0" borderId="11" xfId="0" applyNumberFormat="1" applyFont="1" applyFill="1" applyBorder="1" applyAlignment="1">
      <alignment horizontal="center" vertical="center"/>
    </xf>
    <xf numFmtId="3" fontId="14" fillId="0" borderId="11" xfId="0" applyNumberFormat="1" applyFont="1" applyBorder="1" applyAlignment="1">
      <alignment horizontal="center" vertical="center"/>
    </xf>
    <xf numFmtId="4" fontId="14" fillId="0" borderId="0" xfId="0" applyNumberFormat="1" applyFont="1" applyFill="1" applyBorder="1" applyAlignment="1">
      <alignment horizontal="center" vertical="center"/>
    </xf>
    <xf numFmtId="49" fontId="16" fillId="0" borderId="18" xfId="56" applyNumberFormat="1" applyFont="1" applyFill="1" applyBorder="1" applyAlignment="1" applyProtection="1">
      <alignment horizontal="center" vertical="center"/>
      <protection hidden="1"/>
    </xf>
    <xf numFmtId="212" fontId="17" fillId="0" borderId="23" xfId="56" applyNumberFormat="1" applyFont="1" applyFill="1" applyBorder="1" applyAlignment="1">
      <alignment horizontal="right" vertical="center"/>
      <protection/>
    </xf>
    <xf numFmtId="212" fontId="21" fillId="0" borderId="18" xfId="0" applyNumberFormat="1" applyFont="1" applyFill="1" applyBorder="1" applyAlignment="1" applyProtection="1">
      <alignment/>
      <protection locked="0"/>
    </xf>
    <xf numFmtId="212" fontId="17" fillId="0" borderId="18" xfId="0" applyNumberFormat="1" applyFont="1" applyFill="1" applyBorder="1" applyAlignment="1" applyProtection="1">
      <alignment/>
      <protection locked="0"/>
    </xf>
    <xf numFmtId="0" fontId="12" fillId="0" borderId="11" xfId="0" applyFont="1" applyFill="1" applyBorder="1" applyAlignment="1">
      <alignment/>
    </xf>
    <xf numFmtId="49" fontId="3" fillId="34" borderId="11" xfId="0" applyNumberFormat="1" applyFont="1" applyFill="1" applyBorder="1" applyAlignment="1">
      <alignment horizontal="center" vertical="top" wrapText="1"/>
    </xf>
    <xf numFmtId="0" fontId="11" fillId="0" borderId="11" xfId="0" applyFont="1" applyBorder="1" applyAlignment="1" applyProtection="1">
      <alignment vertical="center" wrapText="1"/>
      <protection hidden="1"/>
    </xf>
    <xf numFmtId="0" fontId="11" fillId="34" borderId="11" xfId="0" applyFont="1" applyFill="1" applyBorder="1" applyAlignment="1" applyProtection="1">
      <alignment vertical="center" wrapText="1"/>
      <protection hidden="1"/>
    </xf>
    <xf numFmtId="49" fontId="6" fillId="0" borderId="11" xfId="0" applyNumberFormat="1" applyFont="1" applyBorder="1" applyAlignment="1" applyProtection="1">
      <alignment vertical="center" wrapText="1"/>
      <protection hidden="1"/>
    </xf>
    <xf numFmtId="0" fontId="11" fillId="0" borderId="11" xfId="0" applyFont="1" applyFill="1" applyBorder="1" applyAlignment="1" applyProtection="1">
      <alignment vertical="center" wrapText="1"/>
      <protection hidden="1"/>
    </xf>
    <xf numFmtId="49" fontId="7" fillId="34" borderId="11" xfId="0" applyNumberFormat="1" applyFont="1" applyFill="1" applyBorder="1" applyAlignment="1">
      <alignment horizontal="left" vertical="center" wrapText="1"/>
    </xf>
    <xf numFmtId="165" fontId="26" fillId="0" borderId="18" xfId="56" applyNumberFormat="1" applyFont="1" applyFill="1" applyBorder="1" applyAlignment="1" applyProtection="1">
      <alignment horizontal="right" vertical="center"/>
      <protection hidden="1"/>
    </xf>
    <xf numFmtId="165" fontId="27" fillId="0" borderId="18" xfId="56" applyNumberFormat="1" applyFont="1" applyFill="1" applyBorder="1" applyAlignment="1" applyProtection="1">
      <alignment horizontal="right"/>
      <protection hidden="1"/>
    </xf>
    <xf numFmtId="165" fontId="26" fillId="0" borderId="18" xfId="56" applyNumberFormat="1" applyFont="1" applyFill="1" applyBorder="1" applyAlignment="1" applyProtection="1">
      <alignment horizontal="right"/>
      <protection hidden="1"/>
    </xf>
    <xf numFmtId="165" fontId="26" fillId="0" borderId="18" xfId="56" applyNumberFormat="1" applyFont="1" applyFill="1" applyBorder="1" applyAlignment="1" applyProtection="1">
      <alignment horizontal="right"/>
      <protection hidden="1"/>
    </xf>
    <xf numFmtId="165" fontId="25" fillId="0" borderId="18" xfId="56" applyNumberFormat="1" applyFont="1" applyFill="1" applyBorder="1" applyAlignment="1" applyProtection="1">
      <alignment horizontal="right"/>
      <protection hidden="1"/>
    </xf>
    <xf numFmtId="165" fontId="27" fillId="34" borderId="18" xfId="56" applyNumberFormat="1" applyFont="1" applyFill="1" applyBorder="1" applyAlignment="1" applyProtection="1">
      <alignment horizontal="right"/>
      <protection hidden="1"/>
    </xf>
    <xf numFmtId="165" fontId="27" fillId="0" borderId="18" xfId="56" applyNumberFormat="1" applyFont="1" applyFill="1" applyBorder="1" applyAlignment="1" applyProtection="1">
      <alignment horizontal="right" vertical="center"/>
      <protection hidden="1"/>
    </xf>
    <xf numFmtId="165" fontId="27" fillId="0" borderId="18" xfId="56" applyNumberFormat="1" applyFont="1" applyFill="1" applyBorder="1" applyAlignment="1" applyProtection="1">
      <alignment horizontal="right"/>
      <protection hidden="1"/>
    </xf>
    <xf numFmtId="0" fontId="13" fillId="0" borderId="18" xfId="0" applyFont="1" applyFill="1" applyBorder="1" applyAlignment="1" applyProtection="1">
      <alignment horizontal="left" wrapText="1"/>
      <protection hidden="1"/>
    </xf>
    <xf numFmtId="165" fontId="14" fillId="0" borderId="24" xfId="56" applyNumberFormat="1" applyFont="1" applyFill="1" applyBorder="1" applyAlignment="1" applyProtection="1">
      <alignment horizontal="right" vertical="center"/>
      <protection hidden="1"/>
    </xf>
    <xf numFmtId="165" fontId="14" fillId="0" borderId="25" xfId="56" applyNumberFormat="1" applyFont="1" applyFill="1" applyBorder="1" applyAlignment="1" applyProtection="1">
      <alignment horizontal="right" vertical="center"/>
      <protection hidden="1"/>
    </xf>
    <xf numFmtId="0" fontId="7" fillId="0" borderId="18" xfId="0" applyFont="1" applyBorder="1" applyAlignment="1" applyProtection="1">
      <alignment horizontal="center" vertical="top" wrapText="1"/>
      <protection hidden="1"/>
    </xf>
    <xf numFmtId="0" fontId="32" fillId="0" borderId="18" xfId="0" applyFont="1" applyBorder="1" applyAlignment="1" applyProtection="1">
      <alignment horizontal="justify" vertical="top" wrapText="1"/>
      <protection hidden="1"/>
    </xf>
    <xf numFmtId="165" fontId="27" fillId="0" borderId="18" xfId="0" applyNumberFormat="1" applyFont="1" applyFill="1" applyBorder="1" applyAlignment="1" applyProtection="1">
      <alignment/>
      <protection hidden="1"/>
    </xf>
    <xf numFmtId="0" fontId="18" fillId="0" borderId="18" xfId="0" applyFont="1" applyBorder="1" applyAlignment="1" applyProtection="1">
      <alignment horizontal="center" vertical="top" wrapText="1"/>
      <protection hidden="1"/>
    </xf>
    <xf numFmtId="0" fontId="33" fillId="0" borderId="18" xfId="0" applyFont="1" applyBorder="1" applyAlignment="1" applyProtection="1">
      <alignment horizontal="justify" vertical="top" wrapText="1"/>
      <protection hidden="1"/>
    </xf>
    <xf numFmtId="0" fontId="34" fillId="0" borderId="18" xfId="0" applyFont="1" applyBorder="1" applyAlignment="1" applyProtection="1">
      <alignment horizontal="justify" vertical="top" wrapText="1"/>
      <protection hidden="1"/>
    </xf>
    <xf numFmtId="0" fontId="18" fillId="0" borderId="18" xfId="0" applyFont="1" applyBorder="1" applyAlignment="1" applyProtection="1">
      <alignment horizontal="justify" vertical="top" wrapText="1"/>
      <protection hidden="1"/>
    </xf>
    <xf numFmtId="165" fontId="16" fillId="0" borderId="18" xfId="0" applyNumberFormat="1" applyFont="1" applyFill="1" applyBorder="1" applyAlignment="1" applyProtection="1">
      <alignment/>
      <protection hidden="1"/>
    </xf>
    <xf numFmtId="0" fontId="7" fillId="0" borderId="18" xfId="0" applyFont="1" applyBorder="1" applyAlignment="1" applyProtection="1">
      <alignment horizontal="center" vertical="top" wrapText="1"/>
      <protection hidden="1"/>
    </xf>
    <xf numFmtId="0" fontId="7" fillId="0" borderId="18" xfId="0" applyFont="1" applyBorder="1" applyAlignment="1" applyProtection="1">
      <alignment horizontal="justify" vertical="top" wrapText="1"/>
      <protection hidden="1"/>
    </xf>
    <xf numFmtId="0" fontId="35" fillId="0" borderId="18" xfId="0" applyFont="1" applyBorder="1" applyAlignment="1" applyProtection="1">
      <alignment horizontal="justify" vertical="top" wrapText="1"/>
      <protection hidden="1"/>
    </xf>
    <xf numFmtId="0" fontId="18" fillId="0" borderId="18" xfId="0" applyFont="1" applyBorder="1" applyAlignment="1" applyProtection="1">
      <alignment horizontal="justify" vertical="top" wrapText="1"/>
      <protection hidden="1"/>
    </xf>
    <xf numFmtId="0" fontId="33" fillId="0" borderId="18" xfId="0" applyFont="1" applyBorder="1" applyAlignment="1" applyProtection="1">
      <alignment horizontal="justify" vertical="top" wrapText="1"/>
      <protection hidden="1"/>
    </xf>
    <xf numFmtId="165" fontId="27" fillId="0" borderId="18" xfId="0" applyNumberFormat="1" applyFont="1" applyFill="1" applyBorder="1" applyAlignment="1" applyProtection="1">
      <alignment/>
      <protection hidden="1"/>
    </xf>
    <xf numFmtId="0" fontId="18" fillId="0" borderId="18" xfId="0" applyFont="1" applyBorder="1" applyAlignment="1" applyProtection="1">
      <alignment horizontal="center" vertical="top" wrapText="1"/>
      <protection hidden="1"/>
    </xf>
    <xf numFmtId="0" fontId="18" fillId="0" borderId="26" xfId="0" applyFont="1" applyBorder="1" applyAlignment="1" applyProtection="1">
      <alignment horizontal="center" vertical="top" wrapText="1"/>
      <protection hidden="1"/>
    </xf>
    <xf numFmtId="0" fontId="36" fillId="0" borderId="18" xfId="56" applyFont="1" applyFill="1" applyBorder="1" applyAlignment="1" applyProtection="1">
      <alignment horizontal="left" vertical="center" wrapText="1"/>
      <protection hidden="1"/>
    </xf>
    <xf numFmtId="0" fontId="18" fillId="0" borderId="0" xfId="0" applyFont="1" applyAlignment="1">
      <alignment/>
    </xf>
    <xf numFmtId="0" fontId="16" fillId="0" borderId="18" xfId="56" applyFont="1" applyFill="1" applyBorder="1" applyProtection="1">
      <alignment/>
      <protection hidden="1"/>
    </xf>
    <xf numFmtId="0" fontId="11" fillId="0" borderId="18" xfId="56" applyFont="1" applyFill="1" applyBorder="1" applyAlignment="1" applyProtection="1">
      <alignment horizontal="center"/>
      <protection hidden="1"/>
    </xf>
    <xf numFmtId="0" fontId="8" fillId="34" borderId="11" xfId="0" applyFont="1" applyFill="1" applyBorder="1" applyAlignment="1">
      <alignment horizontal="left" vertical="center" wrapText="1"/>
    </xf>
    <xf numFmtId="212" fontId="14" fillId="0" borderId="27" xfId="56" applyNumberFormat="1" applyFont="1" applyFill="1" applyBorder="1" applyAlignment="1">
      <alignment horizontal="right" vertical="center"/>
      <protection/>
    </xf>
    <xf numFmtId="3" fontId="16" fillId="32" borderId="11" xfId="0" applyNumberFormat="1" applyFont="1" applyFill="1" applyBorder="1" applyAlignment="1">
      <alignment vertical="top"/>
    </xf>
    <xf numFmtId="3" fontId="16" fillId="0" borderId="11" xfId="0" applyNumberFormat="1" applyFont="1" applyFill="1" applyBorder="1" applyAlignment="1">
      <alignment vertical="top"/>
    </xf>
    <xf numFmtId="0" fontId="16" fillId="34" borderId="11" xfId="0" applyFont="1" applyFill="1" applyBorder="1" applyAlignment="1">
      <alignment/>
    </xf>
    <xf numFmtId="3" fontId="14" fillId="33" borderId="11" xfId="0" applyNumberFormat="1" applyFont="1" applyFill="1" applyBorder="1" applyAlignment="1">
      <alignment/>
    </xf>
    <xf numFmtId="3" fontId="14" fillId="33" borderId="11" xfId="0" applyNumberFormat="1" applyFont="1" applyFill="1" applyBorder="1" applyAlignment="1">
      <alignment horizontal="center" vertical="center"/>
    </xf>
    <xf numFmtId="213" fontId="14" fillId="33" borderId="11" xfId="0" applyNumberFormat="1" applyFont="1" applyFill="1" applyBorder="1" applyAlignment="1">
      <alignment horizontal="center" vertical="center"/>
    </xf>
    <xf numFmtId="4" fontId="14" fillId="33" borderId="11" xfId="0" applyNumberFormat="1" applyFont="1" applyFill="1" applyBorder="1" applyAlignment="1">
      <alignment horizontal="center" vertical="center"/>
    </xf>
    <xf numFmtId="0" fontId="16" fillId="33" borderId="11" xfId="0" applyFont="1" applyFill="1" applyBorder="1" applyAlignment="1">
      <alignment horizontal="center" vertical="center"/>
    </xf>
    <xf numFmtId="0" fontId="16" fillId="34" borderId="11" xfId="0" applyFont="1" applyFill="1" applyBorder="1" applyAlignment="1">
      <alignment vertical="center" wrapText="1"/>
    </xf>
    <xf numFmtId="3" fontId="14" fillId="0" borderId="11" xfId="0" applyNumberFormat="1" applyFont="1" applyFill="1" applyBorder="1" applyAlignment="1">
      <alignment horizontal="center" vertical="center"/>
    </xf>
    <xf numFmtId="49" fontId="17" fillId="0" borderId="11" xfId="0" applyNumberFormat="1" applyFont="1" applyBorder="1" applyAlignment="1" applyProtection="1">
      <alignment horizontal="center" vertical="center" wrapText="1"/>
      <protection hidden="1"/>
    </xf>
    <xf numFmtId="0" fontId="17" fillId="0" borderId="11" xfId="0" applyFont="1" applyBorder="1" applyAlignment="1" applyProtection="1">
      <alignment vertical="center" wrapText="1"/>
      <protection hidden="1"/>
    </xf>
    <xf numFmtId="0" fontId="17" fillId="0" borderId="11" xfId="0" applyFont="1" applyBorder="1" applyAlignment="1" applyProtection="1">
      <alignment horizontal="center" vertical="center" wrapText="1"/>
      <protection hidden="1"/>
    </xf>
    <xf numFmtId="1" fontId="17" fillId="0" borderId="11"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vertical="center" wrapText="1"/>
      <protection hidden="1"/>
    </xf>
    <xf numFmtId="49" fontId="17" fillId="0" borderId="11" xfId="0" applyNumberFormat="1" applyFont="1" applyFill="1" applyBorder="1" applyAlignment="1" applyProtection="1">
      <alignment horizontal="center" vertical="center" wrapText="1"/>
      <protection hidden="1"/>
    </xf>
    <xf numFmtId="0" fontId="7" fillId="34" borderId="11" xfId="0" applyFont="1" applyFill="1" applyBorder="1" applyAlignment="1">
      <alignment vertical="center" wrapText="1"/>
    </xf>
    <xf numFmtId="0" fontId="12" fillId="0" borderId="19" xfId="56" applyFont="1" applyFill="1" applyBorder="1" applyAlignment="1" applyProtection="1">
      <alignment horizontal="left" vertical="center"/>
      <protection hidden="1"/>
    </xf>
    <xf numFmtId="49" fontId="13" fillId="0" borderId="19" xfId="56" applyNumberFormat="1" applyFont="1" applyFill="1" applyBorder="1" applyAlignment="1" applyProtection="1">
      <alignment horizontal="center" vertical="center"/>
      <protection hidden="1"/>
    </xf>
    <xf numFmtId="0" fontId="12" fillId="0" borderId="18" xfId="56" applyFont="1" applyFill="1" applyBorder="1" applyAlignment="1" applyProtection="1">
      <alignment horizontal="left" wrapText="1"/>
      <protection hidden="1"/>
    </xf>
    <xf numFmtId="0" fontId="13" fillId="0" borderId="18" xfId="56" applyFont="1" applyFill="1" applyBorder="1" applyAlignment="1" applyProtection="1">
      <alignment horizontal="left" wrapText="1"/>
      <protection hidden="1"/>
    </xf>
    <xf numFmtId="0" fontId="11" fillId="0" borderId="18" xfId="56" applyFont="1" applyFill="1" applyBorder="1" applyAlignment="1" applyProtection="1">
      <alignment horizontal="left" wrapText="1"/>
      <protection hidden="1"/>
    </xf>
    <xf numFmtId="0" fontId="11" fillId="0" borderId="18" xfId="56" applyFont="1" applyFill="1" applyBorder="1" applyAlignment="1" applyProtection="1">
      <alignment horizontal="left" wrapText="1"/>
      <protection hidden="1"/>
    </xf>
    <xf numFmtId="0" fontId="11" fillId="0" borderId="18" xfId="0" applyFont="1" applyBorder="1" applyAlignment="1" applyProtection="1">
      <alignment horizontal="left" vertical="center" wrapText="1"/>
      <protection hidden="1"/>
    </xf>
    <xf numFmtId="0" fontId="6" fillId="0" borderId="18" xfId="0" applyFont="1" applyFill="1" applyBorder="1" applyAlignment="1">
      <alignment vertical="center" wrapText="1"/>
    </xf>
    <xf numFmtId="0" fontId="17" fillId="0" borderId="18" xfId="56" applyFont="1" applyFill="1" applyBorder="1" applyAlignment="1" applyProtection="1">
      <alignment horizontal="left" wrapText="1"/>
      <protection hidden="1"/>
    </xf>
    <xf numFmtId="49" fontId="11" fillId="0" borderId="18" xfId="56" applyNumberFormat="1" applyFont="1" applyFill="1" applyBorder="1" applyAlignment="1" applyProtection="1">
      <alignment horizontal="center" vertical="center"/>
      <protection hidden="1"/>
    </xf>
    <xf numFmtId="0" fontId="17" fillId="0" borderId="11" xfId="53" applyFont="1" applyFill="1" applyBorder="1" applyAlignment="1">
      <alignment horizontal="center" vertical="top" wrapText="1"/>
      <protection/>
    </xf>
    <xf numFmtId="0" fontId="4" fillId="0" borderId="0" xfId="0" applyFont="1" applyAlignment="1">
      <alignment horizontal="center"/>
    </xf>
    <xf numFmtId="0" fontId="9" fillId="0" borderId="0" xfId="0" applyFont="1" applyAlignment="1">
      <alignment/>
    </xf>
    <xf numFmtId="4" fontId="0" fillId="0" borderId="0" xfId="0" applyNumberFormat="1" applyAlignment="1">
      <alignment/>
    </xf>
    <xf numFmtId="49" fontId="3" fillId="0" borderId="0" xfId="0" applyNumberFormat="1" applyFont="1" applyAlignment="1">
      <alignment/>
    </xf>
    <xf numFmtId="49" fontId="16" fillId="33" borderId="11" xfId="0" applyNumberFormat="1" applyFont="1" applyFill="1" applyBorder="1" applyAlignment="1">
      <alignment horizontal="center"/>
    </xf>
    <xf numFmtId="3" fontId="14" fillId="32" borderId="11" xfId="0" applyNumberFormat="1" applyFont="1" applyFill="1" applyBorder="1" applyAlignment="1">
      <alignment horizontal="center" vertical="center"/>
    </xf>
    <xf numFmtId="0" fontId="14" fillId="33" borderId="11" xfId="0" applyFont="1" applyFill="1" applyBorder="1" applyAlignment="1">
      <alignment horizontal="center" vertical="center"/>
    </xf>
    <xf numFmtId="0" fontId="16" fillId="32" borderId="11" xfId="0" applyFont="1" applyFill="1" applyBorder="1" applyAlignment="1">
      <alignment horizontal="center" vertical="center"/>
    </xf>
    <xf numFmtId="0" fontId="16" fillId="0" borderId="0" xfId="0" applyFont="1" applyFill="1" applyBorder="1" applyAlignment="1">
      <alignment horizontal="center" vertical="center"/>
    </xf>
    <xf numFmtId="213"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24" fillId="0" borderId="0" xfId="0" applyFont="1" applyAlignment="1">
      <alignment horizontal="center"/>
    </xf>
    <xf numFmtId="0" fontId="3" fillId="0" borderId="0" xfId="0" applyFont="1" applyFill="1" applyAlignment="1">
      <alignment horizontal="center"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vertical="center"/>
    </xf>
    <xf numFmtId="165" fontId="21" fillId="0" borderId="11" xfId="0" applyNumberFormat="1" applyFont="1" applyFill="1" applyBorder="1" applyAlignment="1" applyProtection="1">
      <alignment horizontal="center" vertical="center" wrapText="1"/>
      <protection hidden="1"/>
    </xf>
    <xf numFmtId="165" fontId="21" fillId="0" borderId="11" xfId="0" applyNumberFormat="1" applyFont="1" applyFill="1" applyBorder="1" applyAlignment="1" applyProtection="1">
      <alignment horizontal="center" vertical="center" wrapText="1"/>
      <protection hidden="1"/>
    </xf>
    <xf numFmtId="49" fontId="3" fillId="0" borderId="0" xfId="0" applyNumberFormat="1" applyFont="1" applyFill="1" applyAlignment="1">
      <alignment horizontal="center" vertical="center"/>
    </xf>
    <xf numFmtId="0" fontId="16" fillId="0" borderId="0" xfId="56" applyFont="1" applyFill="1" applyProtection="1">
      <alignment/>
      <protection hidden="1"/>
    </xf>
    <xf numFmtId="0" fontId="11" fillId="0" borderId="19" xfId="56" applyFont="1" applyFill="1" applyBorder="1" applyAlignment="1" applyProtection="1">
      <alignment horizontal="left" vertical="center" wrapText="1"/>
      <protection hidden="1"/>
    </xf>
    <xf numFmtId="49" fontId="11" fillId="0" borderId="23" xfId="56" applyNumberFormat="1" applyFont="1" applyFill="1" applyBorder="1" applyAlignment="1" applyProtection="1">
      <alignment horizontal="center" wrapText="1"/>
      <protection hidden="1"/>
    </xf>
    <xf numFmtId="0" fontId="11" fillId="0" borderId="24" xfId="56" applyFont="1" applyFill="1" applyBorder="1" applyAlignment="1" applyProtection="1">
      <alignment horizontal="left" vertical="center" wrapText="1"/>
      <protection hidden="1"/>
    </xf>
    <xf numFmtId="0" fontId="11" fillId="0" borderId="18" xfId="56" applyFont="1" applyFill="1" applyBorder="1" applyAlignment="1" applyProtection="1">
      <alignment horizontal="left" vertical="justify" wrapText="1"/>
      <protection hidden="1"/>
    </xf>
    <xf numFmtId="0" fontId="0"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xf>
    <xf numFmtId="49" fontId="1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34" borderId="11" xfId="0" applyNumberFormat="1" applyFont="1" applyFill="1" applyBorder="1" applyAlignment="1">
      <alignment horizontal="center" vertical="center" wrapText="1"/>
    </xf>
    <xf numFmtId="212" fontId="6" fillId="0" borderId="11" xfId="0" applyNumberFormat="1" applyFont="1" applyBorder="1" applyAlignment="1" applyProtection="1">
      <alignment horizontal="right" vertical="center" wrapText="1"/>
      <protection/>
    </xf>
    <xf numFmtId="212" fontId="6" fillId="0" borderId="11" xfId="0" applyNumberFormat="1" applyFont="1" applyBorder="1" applyAlignment="1">
      <alignment vertical="center" wrapText="1"/>
    </xf>
    <xf numFmtId="165" fontId="11" fillId="0" borderId="11" xfId="0" applyNumberFormat="1" applyFont="1" applyBorder="1" applyAlignment="1" applyProtection="1">
      <alignment horizontal="center" vertical="center"/>
      <protection hidden="1"/>
    </xf>
    <xf numFmtId="49" fontId="13" fillId="0" borderId="11" xfId="0" applyNumberFormat="1" applyFont="1" applyBorder="1" applyAlignment="1" applyProtection="1">
      <alignment horizontal="center" vertical="center" wrapText="1"/>
      <protection hidden="1"/>
    </xf>
    <xf numFmtId="0" fontId="13" fillId="0" borderId="11" xfId="0" applyFont="1" applyBorder="1" applyAlignment="1" applyProtection="1">
      <alignment horizontal="left" vertical="center" wrapText="1"/>
      <protection hidden="1"/>
    </xf>
    <xf numFmtId="165" fontId="42" fillId="0" borderId="11" xfId="0" applyNumberFormat="1" applyFont="1" applyBorder="1" applyAlignment="1" applyProtection="1">
      <alignment horizontal="right" vertical="center" wrapText="1"/>
      <protection hidden="1"/>
    </xf>
    <xf numFmtId="49" fontId="11" fillId="0" borderId="11" xfId="0" applyNumberFormat="1" applyFont="1" applyBorder="1" applyAlignment="1" applyProtection="1">
      <alignment horizontal="center" vertical="center" wrapText="1"/>
      <protection hidden="1"/>
    </xf>
    <xf numFmtId="165" fontId="43" fillId="0" borderId="11" xfId="0" applyNumberFormat="1" applyFont="1" applyBorder="1" applyAlignment="1" applyProtection="1">
      <alignment horizontal="right" vertical="center" wrapText="1"/>
      <protection hidden="1"/>
    </xf>
    <xf numFmtId="49" fontId="20" fillId="0" borderId="28" xfId="0" applyNumberFormat="1" applyFont="1" applyFill="1" applyBorder="1" applyAlignment="1" applyProtection="1">
      <alignment horizontal="center" vertical="top" wrapText="1"/>
      <protection hidden="1" locked="0"/>
    </xf>
    <xf numFmtId="49" fontId="20" fillId="0" borderId="28" xfId="0" applyNumberFormat="1" applyFont="1" applyFill="1" applyBorder="1" applyAlignment="1" applyProtection="1">
      <alignment horizontal="left" vertical="top" wrapText="1"/>
      <protection hidden="1" locked="0"/>
    </xf>
    <xf numFmtId="165" fontId="11" fillId="0" borderId="11" xfId="0" applyNumberFormat="1" applyFont="1" applyBorder="1" applyAlignment="1" applyProtection="1">
      <alignment horizontal="right" vertical="center" wrapText="1"/>
      <protection hidden="1"/>
    </xf>
    <xf numFmtId="165" fontId="29" fillId="0" borderId="11" xfId="0" applyNumberFormat="1" applyFont="1" applyBorder="1" applyAlignment="1" applyProtection="1">
      <alignment horizontal="right" vertical="center" wrapText="1"/>
      <protection hidden="1"/>
    </xf>
    <xf numFmtId="0" fontId="11" fillId="0" borderId="11" xfId="0" applyFont="1" applyBorder="1" applyAlignment="1" applyProtection="1">
      <alignment horizontal="left" vertical="center" wrapText="1"/>
      <protection hidden="1"/>
    </xf>
    <xf numFmtId="0" fontId="13" fillId="0" borderId="11" xfId="0" applyFont="1" applyBorder="1" applyAlignment="1" applyProtection="1">
      <alignment horizontal="left" vertical="center" wrapText="1"/>
      <protection hidden="1"/>
    </xf>
    <xf numFmtId="0" fontId="11" fillId="0" borderId="11" xfId="0" applyFont="1" applyBorder="1" applyAlignment="1" applyProtection="1">
      <alignment horizontal="center" vertical="center" wrapText="1"/>
      <protection hidden="1"/>
    </xf>
    <xf numFmtId="0" fontId="13" fillId="0" borderId="11" xfId="0" applyFont="1" applyBorder="1" applyAlignment="1" applyProtection="1">
      <alignment vertical="center" wrapText="1"/>
      <protection hidden="1"/>
    </xf>
    <xf numFmtId="165" fontId="43" fillId="0" borderId="11" xfId="0" applyNumberFormat="1" applyFont="1" applyFill="1" applyBorder="1" applyAlignment="1" applyProtection="1">
      <alignment horizontal="right" vertical="center" wrapText="1"/>
      <protection hidden="1"/>
    </xf>
    <xf numFmtId="212" fontId="44" fillId="0" borderId="11" xfId="0" applyNumberFormat="1" applyFont="1" applyBorder="1" applyAlignment="1" applyProtection="1">
      <alignment horizontal="right" vertical="center" wrapText="1"/>
      <protection/>
    </xf>
    <xf numFmtId="212" fontId="6" fillId="0" borderId="11" xfId="0" applyNumberFormat="1" applyFont="1" applyBorder="1" applyAlignment="1" applyProtection="1">
      <alignment horizontal="right" vertical="center" wrapText="1"/>
      <protection locked="0"/>
    </xf>
    <xf numFmtId="212" fontId="6" fillId="0" borderId="11" xfId="0" applyNumberFormat="1" applyFont="1" applyBorder="1" applyAlignment="1" applyProtection="1">
      <alignment horizontal="right" vertical="center" wrapText="1"/>
      <protection/>
    </xf>
    <xf numFmtId="212" fontId="6" fillId="0" borderId="11" xfId="0" applyNumberFormat="1" applyFont="1" applyBorder="1" applyAlignment="1" applyProtection="1">
      <alignment horizontal="right" vertical="center" wrapText="1"/>
      <protection locked="0"/>
    </xf>
    <xf numFmtId="0" fontId="11" fillId="0" borderId="11" xfId="0" applyFont="1" applyBorder="1" applyAlignment="1" applyProtection="1">
      <alignment horizontal="left" vertical="center" wrapText="1"/>
      <protection hidden="1"/>
    </xf>
    <xf numFmtId="1" fontId="11" fillId="0" borderId="11" xfId="0" applyNumberFormat="1" applyFont="1" applyBorder="1" applyAlignment="1" applyProtection="1">
      <alignment horizontal="center" vertical="center" wrapText="1"/>
      <protection hidden="1"/>
    </xf>
    <xf numFmtId="0" fontId="11" fillId="0" borderId="11" xfId="0" applyNumberFormat="1" applyFont="1" applyBorder="1" applyAlignment="1" applyProtection="1">
      <alignment vertical="center" wrapText="1"/>
      <protection hidden="1"/>
    </xf>
    <xf numFmtId="212" fontId="45" fillId="0" borderId="11" xfId="0" applyNumberFormat="1" applyFont="1" applyBorder="1" applyAlignment="1" applyProtection="1">
      <alignment horizontal="right" vertical="center" wrapText="1"/>
      <protection locked="0"/>
    </xf>
    <xf numFmtId="0" fontId="11" fillId="0" borderId="11"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hidden="1"/>
    </xf>
    <xf numFmtId="212" fontId="20" fillId="0" borderId="11" xfId="0" applyNumberFormat="1" applyFont="1" applyBorder="1" applyAlignment="1" applyProtection="1">
      <alignment horizontal="right" vertical="center" wrapText="1"/>
      <protection/>
    </xf>
    <xf numFmtId="0" fontId="20" fillId="34" borderId="11" xfId="0" applyFont="1" applyFill="1" applyBorder="1" applyAlignment="1" applyProtection="1">
      <alignment horizontal="center" vertical="center" wrapText="1"/>
      <protection hidden="1"/>
    </xf>
    <xf numFmtId="49" fontId="20" fillId="34" borderId="11" xfId="0" applyNumberFormat="1" applyFont="1" applyFill="1" applyBorder="1" applyAlignment="1" applyProtection="1">
      <alignment horizontal="left" vertical="center" wrapText="1"/>
      <protection hidden="1"/>
    </xf>
    <xf numFmtId="165" fontId="46" fillId="0" borderId="11" xfId="0" applyNumberFormat="1" applyFont="1" applyBorder="1" applyAlignment="1" applyProtection="1">
      <alignment horizontal="right" vertical="center" wrapText="1"/>
      <protection hidden="1"/>
    </xf>
    <xf numFmtId="212" fontId="44" fillId="0" borderId="11" xfId="0" applyNumberFormat="1" applyFont="1" applyBorder="1" applyAlignment="1" applyProtection="1">
      <alignment horizontal="right" vertical="center" wrapText="1"/>
      <protection/>
    </xf>
    <xf numFmtId="165" fontId="42" fillId="0" borderId="11" xfId="0" applyNumberFormat="1" applyFont="1" applyFill="1" applyBorder="1" applyAlignment="1" applyProtection="1">
      <alignment horizontal="right" vertical="center" wrapText="1"/>
      <protection hidden="1"/>
    </xf>
    <xf numFmtId="165" fontId="43" fillId="0" borderId="11" xfId="0" applyNumberFormat="1" applyFont="1" applyFill="1" applyBorder="1" applyAlignment="1" applyProtection="1">
      <alignment horizontal="right" vertical="center" wrapText="1"/>
      <protection hidden="1"/>
    </xf>
    <xf numFmtId="165" fontId="11" fillId="0" borderId="11" xfId="0" applyNumberFormat="1" applyFont="1" applyFill="1" applyBorder="1" applyAlignment="1" applyProtection="1">
      <alignment horizontal="right" vertical="center" wrapText="1"/>
      <protection hidden="1"/>
    </xf>
    <xf numFmtId="165" fontId="47" fillId="0" borderId="11" xfId="0" applyNumberFormat="1" applyFont="1" applyFill="1" applyBorder="1" applyAlignment="1" applyProtection="1">
      <alignment horizontal="right" vertical="center" wrapText="1"/>
      <protection hidden="1"/>
    </xf>
    <xf numFmtId="165" fontId="48" fillId="0" borderId="11" xfId="0" applyNumberFormat="1" applyFont="1" applyFill="1" applyBorder="1" applyAlignment="1" applyProtection="1">
      <alignment horizontal="right" vertical="center" wrapText="1"/>
      <protection hidden="1"/>
    </xf>
    <xf numFmtId="165" fontId="47" fillId="34" borderId="11" xfId="0" applyNumberFormat="1" applyFont="1" applyFill="1" applyBorder="1" applyAlignment="1" applyProtection="1">
      <alignment horizontal="right" vertical="center" wrapText="1"/>
      <protection hidden="1"/>
    </xf>
    <xf numFmtId="165" fontId="11" fillId="0" borderId="11" xfId="0" applyNumberFormat="1" applyFont="1" applyFill="1" applyBorder="1" applyAlignment="1" applyProtection="1">
      <alignment horizontal="right" vertical="center" wrapText="1"/>
      <protection hidden="1"/>
    </xf>
    <xf numFmtId="165" fontId="43" fillId="34" borderId="11" xfId="0" applyNumberFormat="1" applyFont="1" applyFill="1" applyBorder="1" applyAlignment="1" applyProtection="1">
      <alignment horizontal="right" vertical="center" wrapText="1"/>
      <protection hidden="1"/>
    </xf>
    <xf numFmtId="0" fontId="13" fillId="0" borderId="11" xfId="0" applyFont="1" applyFill="1" applyBorder="1" applyAlignment="1" applyProtection="1">
      <alignment horizontal="left" vertical="center" wrapText="1"/>
      <protection hidden="1"/>
    </xf>
    <xf numFmtId="165" fontId="39" fillId="0" borderId="0" xfId="0" applyNumberFormat="1" applyFont="1" applyBorder="1" applyAlignment="1" applyProtection="1">
      <alignment horizontal="center" vertical="center"/>
      <protection hidden="1"/>
    </xf>
    <xf numFmtId="49" fontId="14" fillId="0" borderId="0" xfId="0" applyNumberFormat="1" applyFont="1" applyFill="1" applyAlignment="1">
      <alignment horizontal="center"/>
    </xf>
    <xf numFmtId="49" fontId="0" fillId="0" borderId="0" xfId="0" applyNumberFormat="1" applyFont="1" applyFill="1" applyAlignment="1">
      <alignment horizontal="center"/>
    </xf>
    <xf numFmtId="49" fontId="16" fillId="0" borderId="0" xfId="0" applyNumberFormat="1" applyFont="1" applyFill="1" applyAlignment="1">
      <alignment horizontal="center"/>
    </xf>
    <xf numFmtId="49" fontId="0" fillId="0" borderId="0" xfId="0" applyNumberFormat="1" applyFont="1" applyFill="1" applyAlignment="1">
      <alignment/>
    </xf>
    <xf numFmtId="0" fontId="5" fillId="34" borderId="11" xfId="0" applyFont="1" applyFill="1" applyBorder="1" applyAlignment="1">
      <alignment vertical="center" wrapText="1"/>
    </xf>
    <xf numFmtId="49" fontId="5" fillId="34" borderId="11" xfId="0" applyNumberFormat="1" applyFont="1" applyFill="1" applyBorder="1" applyAlignment="1">
      <alignment horizontal="left" vertical="center" wrapText="1"/>
    </xf>
    <xf numFmtId="49" fontId="17" fillId="0" borderId="11" xfId="0" applyNumberFormat="1" applyFont="1" applyBorder="1" applyAlignment="1" applyProtection="1">
      <alignment vertical="center" wrapText="1"/>
      <protection hidden="1"/>
    </xf>
    <xf numFmtId="49" fontId="18" fillId="34" borderId="11" xfId="0" applyNumberFormat="1" applyFont="1" applyFill="1" applyBorder="1" applyAlignment="1">
      <alignment horizontal="center" vertical="top" wrapText="1"/>
    </xf>
    <xf numFmtId="49" fontId="17" fillId="0" borderId="11" xfId="0" applyNumberFormat="1" applyFont="1" applyFill="1" applyBorder="1" applyAlignment="1" applyProtection="1">
      <alignment vertical="center" wrapText="1"/>
      <protection hidden="1"/>
    </xf>
    <xf numFmtId="49" fontId="12" fillId="0" borderId="11" xfId="0" applyNumberFormat="1" applyFont="1" applyBorder="1" applyAlignment="1" applyProtection="1">
      <alignment vertical="center" wrapText="1"/>
      <protection hidden="1"/>
    </xf>
    <xf numFmtId="165" fontId="37" fillId="0" borderId="11" xfId="0" applyNumberFormat="1" applyFont="1" applyFill="1" applyBorder="1" applyAlignment="1" applyProtection="1">
      <alignment horizontal="center" vertical="center" wrapText="1"/>
      <protection hidden="1"/>
    </xf>
    <xf numFmtId="0" fontId="51" fillId="0" borderId="0" xfId="0" applyFont="1" applyFill="1" applyAlignment="1">
      <alignment/>
    </xf>
    <xf numFmtId="49" fontId="17" fillId="0" borderId="11" xfId="0" applyNumberFormat="1" applyFont="1" applyBorder="1" applyAlignment="1" applyProtection="1">
      <alignment horizontal="left" vertical="center" wrapText="1"/>
      <protection hidden="1"/>
    </xf>
    <xf numFmtId="49" fontId="12" fillId="0" borderId="11" xfId="0" applyNumberFormat="1" applyFont="1" applyFill="1" applyBorder="1" applyAlignment="1" applyProtection="1">
      <alignment horizontal="left" vertical="center" wrapText="1"/>
      <protection hidden="1"/>
    </xf>
    <xf numFmtId="49" fontId="12" fillId="0" borderId="11" xfId="0" applyNumberFormat="1" applyFont="1" applyFill="1" applyBorder="1" applyAlignment="1" applyProtection="1">
      <alignment vertical="center" wrapText="1"/>
      <protection hidden="1"/>
    </xf>
    <xf numFmtId="0" fontId="7" fillId="0" borderId="11" xfId="0" applyFont="1" applyFill="1" applyBorder="1" applyAlignment="1">
      <alignment vertical="center" wrapText="1"/>
    </xf>
    <xf numFmtId="0" fontId="18" fillId="0" borderId="11" xfId="0" applyFont="1" applyFill="1" applyBorder="1" applyAlignment="1">
      <alignment/>
    </xf>
    <xf numFmtId="49" fontId="7" fillId="0" borderId="1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2" fillId="0" borderId="10" xfId="0" applyFont="1" applyFill="1" applyBorder="1" applyAlignment="1">
      <alignment horizontal="center" vertical="center" textRotation="90" wrapText="1"/>
    </xf>
    <xf numFmtId="0" fontId="12" fillId="0" borderId="29" xfId="0" applyFont="1" applyFill="1" applyBorder="1" applyAlignment="1">
      <alignment horizontal="center" vertical="center" textRotation="90" wrapText="1"/>
    </xf>
    <xf numFmtId="0" fontId="52" fillId="0" borderId="0" xfId="0" applyFont="1" applyFill="1" applyAlignment="1">
      <alignment/>
    </xf>
    <xf numFmtId="0" fontId="14" fillId="0" borderId="0" xfId="0" applyFont="1" applyFill="1" applyBorder="1" applyAlignment="1">
      <alignment horizontal="center"/>
    </xf>
    <xf numFmtId="0" fontId="0" fillId="0" borderId="0" xfId="0" applyFont="1" applyFill="1" applyBorder="1" applyAlignment="1">
      <alignment horizontal="center"/>
    </xf>
    <xf numFmtId="0" fontId="16" fillId="0" borderId="0" xfId="0" applyFont="1" applyFill="1" applyBorder="1" applyAlignment="1">
      <alignment horizontal="center"/>
    </xf>
    <xf numFmtId="0" fontId="7" fillId="0" borderId="18" xfId="0" applyFont="1" applyFill="1" applyBorder="1" applyAlignment="1" applyProtection="1">
      <alignment horizontal="center" vertical="top" wrapText="1"/>
      <protection hidden="1"/>
    </xf>
    <xf numFmtId="0" fontId="18" fillId="0" borderId="18" xfId="0" applyFont="1" applyFill="1" applyBorder="1" applyAlignment="1" applyProtection="1">
      <alignment horizontal="center" vertical="top" wrapText="1"/>
      <protection hidden="1"/>
    </xf>
    <xf numFmtId="0" fontId="18" fillId="0" borderId="26" xfId="0" applyFont="1" applyFill="1" applyBorder="1" applyAlignment="1" applyProtection="1">
      <alignment horizontal="center" vertical="top" wrapText="1"/>
      <protection hidden="1"/>
    </xf>
    <xf numFmtId="0" fontId="17" fillId="0" borderId="0" xfId="53" applyFont="1" applyFill="1" applyBorder="1" applyAlignment="1">
      <alignment horizontal="center" vertical="top"/>
      <protection/>
    </xf>
    <xf numFmtId="0" fontId="17" fillId="0" borderId="0" xfId="53" applyFont="1" applyFill="1" applyBorder="1" applyAlignment="1">
      <alignment vertical="top" wrapText="1"/>
      <protection/>
    </xf>
    <xf numFmtId="0" fontId="17" fillId="0" borderId="0" xfId="53" applyFont="1" applyFill="1" applyBorder="1" applyAlignment="1">
      <alignment horizontal="center" vertical="top" wrapText="1"/>
      <protection/>
    </xf>
    <xf numFmtId="3" fontId="17" fillId="0" borderId="0" xfId="53" applyNumberFormat="1" applyFont="1" applyFill="1" applyBorder="1" applyAlignment="1">
      <alignment horizontal="right" vertical="top"/>
      <protection/>
    </xf>
    <xf numFmtId="49" fontId="17" fillId="0" borderId="0" xfId="53" applyNumberFormat="1" applyFont="1" applyFill="1" applyBorder="1" applyAlignment="1">
      <alignment horizontal="center" vertical="top" wrapText="1"/>
      <protection/>
    </xf>
    <xf numFmtId="3" fontId="21" fillId="0" borderId="0" xfId="53" applyNumberFormat="1" applyFont="1" applyFill="1" applyBorder="1" applyAlignment="1">
      <alignment horizontal="right" vertical="top"/>
      <protection/>
    </xf>
    <xf numFmtId="0" fontId="30" fillId="0" borderId="0" xfId="55" applyFill="1" applyBorder="1">
      <alignment/>
      <protection/>
    </xf>
    <xf numFmtId="3" fontId="12" fillId="0" borderId="0" xfId="53" applyNumberFormat="1" applyFont="1" applyFill="1" applyBorder="1" applyAlignment="1">
      <alignment horizontal="right" vertical="top"/>
      <protection/>
    </xf>
    <xf numFmtId="49" fontId="16" fillId="0" borderId="0" xfId="0" applyNumberFormat="1" applyFont="1" applyFill="1" applyAlignment="1">
      <alignment/>
    </xf>
    <xf numFmtId="49" fontId="11" fillId="0" borderId="18" xfId="56" applyNumberFormat="1" applyFont="1" applyFill="1" applyBorder="1" applyAlignment="1" applyProtection="1">
      <alignment horizontal="left" wrapText="1"/>
      <protection hidden="1"/>
    </xf>
    <xf numFmtId="49" fontId="7" fillId="0" borderId="18" xfId="0" applyNumberFormat="1" applyFont="1" applyFill="1" applyBorder="1" applyAlignment="1" applyProtection="1">
      <alignment horizontal="center" vertical="top" wrapText="1"/>
      <protection hidden="1"/>
    </xf>
    <xf numFmtId="49" fontId="18" fillId="0" borderId="18" xfId="0" applyNumberFormat="1" applyFont="1" applyFill="1" applyBorder="1" applyAlignment="1" applyProtection="1">
      <alignment horizontal="center" vertical="top" wrapText="1"/>
      <protection hidden="1"/>
    </xf>
    <xf numFmtId="49" fontId="18" fillId="0" borderId="26" xfId="0" applyNumberFormat="1" applyFont="1" applyFill="1" applyBorder="1" applyAlignment="1" applyProtection="1">
      <alignment horizontal="center" vertical="top" wrapText="1"/>
      <protection hidden="1"/>
    </xf>
    <xf numFmtId="0" fontId="32" fillId="0" borderId="18" xfId="0" applyFont="1" applyFill="1" applyBorder="1" applyAlignment="1" applyProtection="1">
      <alignment horizontal="center" vertical="center" wrapText="1"/>
      <protection hidden="1"/>
    </xf>
    <xf numFmtId="0" fontId="18" fillId="0" borderId="18" xfId="0" applyFont="1" applyFill="1" applyBorder="1" applyAlignment="1" applyProtection="1">
      <alignment horizontal="center" vertical="center" wrapText="1"/>
      <protection hidden="1"/>
    </xf>
    <xf numFmtId="0" fontId="17" fillId="0" borderId="11" xfId="0" applyFont="1" applyBorder="1" applyAlignment="1">
      <alignment/>
    </xf>
    <xf numFmtId="3" fontId="17" fillId="0" borderId="11" xfId="0" applyNumberFormat="1" applyFont="1" applyBorder="1" applyAlignment="1">
      <alignment horizontal="right"/>
    </xf>
    <xf numFmtId="0" fontId="7" fillId="0" borderId="30" xfId="0"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12" fillId="0" borderId="33" xfId="0" applyFont="1" applyFill="1" applyBorder="1" applyAlignment="1">
      <alignment horizontal="center" vertical="center" wrapText="1"/>
    </xf>
    <xf numFmtId="165" fontId="49" fillId="0" borderId="11" xfId="0" applyNumberFormat="1" applyFont="1" applyBorder="1" applyAlignment="1" applyProtection="1">
      <alignment horizontal="center" vertical="center"/>
      <protection hidden="1"/>
    </xf>
    <xf numFmtId="165" fontId="37" fillId="0" borderId="11" xfId="0" applyNumberFormat="1" applyFont="1" applyBorder="1" applyAlignment="1" applyProtection="1">
      <alignment horizontal="center" vertical="center"/>
      <protection hidden="1"/>
    </xf>
    <xf numFmtId="165" fontId="21" fillId="0" borderId="11" xfId="0" applyNumberFormat="1" applyFont="1" applyBorder="1" applyAlignment="1" applyProtection="1">
      <alignment horizontal="center" vertical="center"/>
      <protection hidden="1"/>
    </xf>
    <xf numFmtId="165" fontId="50" fillId="0" borderId="11" xfId="0" applyNumberFormat="1" applyFont="1" applyBorder="1" applyAlignment="1" applyProtection="1">
      <alignment horizontal="center" vertical="center"/>
      <protection hidden="1"/>
    </xf>
    <xf numFmtId="49" fontId="18" fillId="0" borderId="11" xfId="0" applyNumberFormat="1" applyFont="1" applyFill="1" applyBorder="1" applyAlignment="1">
      <alignment vertical="top"/>
    </xf>
    <xf numFmtId="49" fontId="34" fillId="0" borderId="11" xfId="0" applyNumberFormat="1" applyFont="1" applyFill="1" applyBorder="1" applyAlignment="1" applyProtection="1">
      <alignment vertical="top" wrapText="1"/>
      <protection hidden="1" locked="0"/>
    </xf>
    <xf numFmtId="49" fontId="34" fillId="0" borderId="11" xfId="0" applyNumberFormat="1" applyFont="1" applyFill="1" applyBorder="1" applyAlignment="1" applyProtection="1">
      <alignment horizontal="center" vertical="top" wrapText="1"/>
      <protection hidden="1" locked="0"/>
    </xf>
    <xf numFmtId="0" fontId="6"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165" fontId="26" fillId="0" borderId="23" xfId="56" applyNumberFormat="1" applyFont="1" applyFill="1" applyBorder="1" applyAlignment="1" applyProtection="1">
      <alignment horizontal="right"/>
      <protection hidden="1"/>
    </xf>
    <xf numFmtId="0" fontId="16" fillId="0" borderId="0" xfId="56" applyFont="1" applyFill="1" applyAlignment="1" applyProtection="1">
      <alignment horizontal="center" vertical="center"/>
      <protection hidden="1"/>
    </xf>
    <xf numFmtId="49" fontId="16" fillId="0" borderId="0" xfId="56" applyNumberFormat="1" applyFont="1" applyFill="1" applyAlignment="1" applyProtection="1">
      <alignment horizontal="center" vertical="center"/>
      <protection hidden="1"/>
    </xf>
    <xf numFmtId="3" fontId="16" fillId="0" borderId="0" xfId="56" applyNumberFormat="1" applyFont="1" applyFill="1" applyAlignment="1" applyProtection="1">
      <alignment horizontal="center"/>
      <protection hidden="1"/>
    </xf>
    <xf numFmtId="0" fontId="16" fillId="35" borderId="0" xfId="56" applyFont="1" applyFill="1" applyProtection="1">
      <alignment/>
      <protection hidden="1"/>
    </xf>
    <xf numFmtId="3" fontId="16" fillId="35" borderId="0" xfId="56" applyNumberFormat="1" applyFont="1" applyFill="1" applyProtection="1">
      <alignment/>
      <protection hidden="1"/>
    </xf>
    <xf numFmtId="0" fontId="14" fillId="0" borderId="0" xfId="56" applyFont="1" applyFill="1" applyBorder="1" applyAlignment="1" applyProtection="1">
      <alignment horizontal="center" vertical="center"/>
      <protection hidden="1"/>
    </xf>
    <xf numFmtId="49" fontId="17" fillId="0" borderId="0" xfId="56" applyNumberFormat="1" applyFont="1" applyFill="1" applyProtection="1">
      <alignment/>
      <protection hidden="1"/>
    </xf>
    <xf numFmtId="0" fontId="16" fillId="0" borderId="0" xfId="56" applyFont="1" applyFill="1" applyAlignment="1" applyProtection="1">
      <alignment horizontal="left"/>
      <protection hidden="1"/>
    </xf>
    <xf numFmtId="0" fontId="18" fillId="0" borderId="0" xfId="0" applyFont="1" applyFill="1" applyAlignment="1" applyProtection="1">
      <alignment/>
      <protection hidden="1"/>
    </xf>
    <xf numFmtId="0" fontId="18" fillId="0" borderId="0" xfId="0" applyFont="1" applyFill="1" applyAlignment="1" applyProtection="1">
      <alignment horizontal="left"/>
      <protection hidden="1"/>
    </xf>
    <xf numFmtId="0" fontId="12" fillId="0" borderId="0" xfId="56" applyFont="1" applyFill="1" applyBorder="1" applyAlignment="1" applyProtection="1">
      <alignment horizontal="center" vertical="center"/>
      <protection hidden="1" locked="0"/>
    </xf>
    <xf numFmtId="0" fontId="17" fillId="0" borderId="0" xfId="56" applyFont="1" applyFill="1" applyBorder="1" applyAlignment="1" applyProtection="1">
      <alignment horizontal="center" vertical="top"/>
      <protection hidden="1"/>
    </xf>
    <xf numFmtId="0" fontId="0" fillId="35" borderId="0" xfId="56" applyFont="1" applyFill="1" applyProtection="1">
      <alignment/>
      <protection hidden="1"/>
    </xf>
    <xf numFmtId="3" fontId="0" fillId="35" borderId="0" xfId="56" applyNumberFormat="1" applyFont="1" applyFill="1" applyProtection="1">
      <alignment/>
      <protection hidden="1"/>
    </xf>
    <xf numFmtId="0" fontId="0" fillId="0" borderId="0" xfId="56" applyFont="1" applyFill="1" applyProtection="1">
      <alignment/>
      <protection hidden="1"/>
    </xf>
    <xf numFmtId="49" fontId="15" fillId="0" borderId="20" xfId="56" applyNumberFormat="1" applyFont="1" applyFill="1" applyBorder="1" applyAlignment="1" applyProtection="1">
      <alignment horizontal="center" vertical="center" wrapText="1"/>
      <protection hidden="1"/>
    </xf>
    <xf numFmtId="0" fontId="15" fillId="0" borderId="20" xfId="56" applyFont="1" applyFill="1" applyBorder="1" applyAlignment="1" applyProtection="1">
      <alignment horizontal="center" vertical="center" wrapText="1"/>
      <protection hidden="1"/>
    </xf>
    <xf numFmtId="0" fontId="15" fillId="0" borderId="21" xfId="56" applyFont="1" applyFill="1" applyBorder="1" applyAlignment="1" applyProtection="1">
      <alignment horizontal="center" vertical="center" wrapText="1"/>
      <protection hidden="1"/>
    </xf>
    <xf numFmtId="165" fontId="26" fillId="0" borderId="19" xfId="56" applyNumberFormat="1" applyFont="1" applyFill="1" applyBorder="1" applyAlignment="1" applyProtection="1">
      <alignment horizontal="right"/>
      <protection hidden="1"/>
    </xf>
    <xf numFmtId="165" fontId="25" fillId="35" borderId="0" xfId="56" applyNumberFormat="1" applyFont="1" applyFill="1" applyProtection="1">
      <alignment/>
      <protection hidden="1"/>
    </xf>
    <xf numFmtId="165" fontId="16" fillId="35" borderId="0" xfId="56" applyNumberFormat="1" applyFont="1" applyFill="1" applyProtection="1">
      <alignment/>
      <protection hidden="1"/>
    </xf>
    <xf numFmtId="185" fontId="16" fillId="35" borderId="0" xfId="56" applyNumberFormat="1" applyFont="1" applyFill="1" applyProtection="1">
      <alignment/>
      <protection hidden="1"/>
    </xf>
    <xf numFmtId="4" fontId="16" fillId="35" borderId="0" xfId="56" applyNumberFormat="1" applyFont="1" applyFill="1" applyProtection="1">
      <alignment/>
      <protection hidden="1"/>
    </xf>
    <xf numFmtId="0" fontId="11" fillId="0" borderId="18" xfId="56" applyNumberFormat="1" applyFont="1" applyFill="1" applyBorder="1" applyAlignment="1" applyProtection="1">
      <alignment horizontal="left" vertical="center" wrapText="1"/>
      <protection hidden="1"/>
    </xf>
    <xf numFmtId="165" fontId="53" fillId="0" borderId="18" xfId="56" applyNumberFormat="1" applyFont="1" applyFill="1" applyBorder="1" applyAlignment="1" applyProtection="1">
      <alignment horizontal="right"/>
      <protection hidden="1"/>
    </xf>
    <xf numFmtId="0" fontId="10" fillId="0" borderId="18" xfId="56" applyFont="1" applyFill="1" applyBorder="1" applyAlignment="1" applyProtection="1">
      <alignment horizontal="left" wrapText="1"/>
      <protection hidden="1"/>
    </xf>
    <xf numFmtId="0" fontId="11" fillId="0" borderId="0" xfId="0" applyFont="1" applyFill="1" applyBorder="1" applyAlignment="1">
      <alignment wrapText="1"/>
    </xf>
    <xf numFmtId="0" fontId="11" fillId="0" borderId="0" xfId="0" applyFont="1" applyAlignment="1">
      <alignment horizontal="left" wrapText="1"/>
    </xf>
    <xf numFmtId="0" fontId="11" fillId="0" borderId="19" xfId="56" applyFont="1" applyFill="1" applyBorder="1" applyAlignment="1" applyProtection="1">
      <alignment horizontal="left" vertical="center" wrapText="1"/>
      <protection hidden="1"/>
    </xf>
    <xf numFmtId="0" fontId="13" fillId="0" borderId="19" xfId="56" applyFont="1" applyFill="1" applyBorder="1" applyAlignment="1" applyProtection="1">
      <alignment horizontal="left" vertical="center" wrapText="1"/>
      <protection hidden="1"/>
    </xf>
    <xf numFmtId="0" fontId="28" fillId="0" borderId="18" xfId="0" applyFont="1" applyFill="1" applyBorder="1" applyAlignment="1">
      <alignment horizontal="left" vertical="center" wrapText="1"/>
    </xf>
    <xf numFmtId="0" fontId="10" fillId="0" borderId="18" xfId="0" applyFont="1" applyBorder="1" applyAlignment="1">
      <alignment wrapText="1"/>
    </xf>
    <xf numFmtId="0" fontId="11" fillId="0" borderId="18" xfId="0" applyFont="1" applyFill="1" applyBorder="1" applyAlignment="1" quotePrefix="1">
      <alignment horizontal="right"/>
    </xf>
    <xf numFmtId="0" fontId="11" fillId="0" borderId="18" xfId="0" applyFont="1" applyFill="1" applyBorder="1" applyAlignment="1">
      <alignment horizontal="center"/>
    </xf>
    <xf numFmtId="0" fontId="11" fillId="0" borderId="18" xfId="0" applyFont="1" applyBorder="1" applyAlignment="1">
      <alignment wrapText="1"/>
    </xf>
    <xf numFmtId="3" fontId="11" fillId="0" borderId="18" xfId="0" applyNumberFormat="1" applyFont="1" applyFill="1" applyBorder="1" applyAlignment="1">
      <alignment horizontal="center"/>
    </xf>
    <xf numFmtId="49" fontId="11" fillId="0" borderId="24" xfId="56" applyNumberFormat="1" applyFont="1" applyFill="1" applyBorder="1" applyAlignment="1" applyProtection="1">
      <alignment horizontal="center" wrapText="1"/>
      <protection hidden="1"/>
    </xf>
    <xf numFmtId="0" fontId="11" fillId="0" borderId="23" xfId="0" applyFont="1" applyFill="1" applyBorder="1" applyAlignment="1">
      <alignment horizontal="left" wrapText="1"/>
    </xf>
    <xf numFmtId="0" fontId="11" fillId="0" borderId="18" xfId="0" applyFont="1" applyFill="1" applyBorder="1" applyAlignment="1">
      <alignment horizontal="left" wrapText="1"/>
    </xf>
    <xf numFmtId="0" fontId="55" fillId="35" borderId="0" xfId="56" applyFont="1" applyFill="1" applyProtection="1">
      <alignment/>
      <protection hidden="1"/>
    </xf>
    <xf numFmtId="3" fontId="55" fillId="35" borderId="0" xfId="56" applyNumberFormat="1" applyFont="1" applyFill="1" applyProtection="1">
      <alignment/>
      <protection hidden="1"/>
    </xf>
    <xf numFmtId="0" fontId="6" fillId="0" borderId="18" xfId="0" applyFont="1" applyBorder="1" applyAlignment="1">
      <alignment wrapText="1"/>
    </xf>
    <xf numFmtId="0" fontId="6" fillId="0" borderId="18" xfId="0" applyFont="1" applyFill="1" applyBorder="1" applyAlignment="1">
      <alignment horizontal="left" vertical="center" wrapText="1"/>
    </xf>
    <xf numFmtId="0" fontId="11" fillId="0" borderId="18" xfId="56" applyFont="1" applyFill="1" applyBorder="1" applyAlignment="1" applyProtection="1">
      <alignment horizontal="left" vertical="center" wrapText="1" shrinkToFit="1"/>
      <protection hidden="1"/>
    </xf>
    <xf numFmtId="49" fontId="11" fillId="0" borderId="19" xfId="56" applyNumberFormat="1" applyFont="1" applyFill="1" applyBorder="1" applyAlignment="1" applyProtection="1">
      <alignment horizontal="center" wrapText="1"/>
      <protection hidden="1"/>
    </xf>
    <xf numFmtId="49" fontId="11" fillId="0" borderId="19" xfId="56" applyNumberFormat="1" applyFont="1" applyFill="1" applyBorder="1" applyAlignment="1" applyProtection="1">
      <alignment horizontal="left" wrapText="1"/>
      <protection hidden="1"/>
    </xf>
    <xf numFmtId="165" fontId="27" fillId="0" borderId="19" xfId="56" applyNumberFormat="1" applyFont="1" applyFill="1" applyBorder="1" applyAlignment="1" applyProtection="1">
      <alignment horizontal="right"/>
      <protection hidden="1"/>
    </xf>
    <xf numFmtId="165" fontId="16" fillId="0" borderId="19" xfId="56" applyNumberFormat="1" applyFont="1" applyFill="1" applyBorder="1" applyAlignment="1" applyProtection="1">
      <alignment horizontal="right"/>
      <protection hidden="1"/>
    </xf>
    <xf numFmtId="0" fontId="56" fillId="35" borderId="0" xfId="56" applyFont="1" applyFill="1" applyProtection="1">
      <alignment/>
      <protection hidden="1"/>
    </xf>
    <xf numFmtId="3" fontId="56" fillId="35" borderId="0" xfId="56" applyNumberFormat="1" applyFont="1" applyFill="1" applyProtection="1">
      <alignment/>
      <protection hidden="1"/>
    </xf>
    <xf numFmtId="0" fontId="56" fillId="0" borderId="0" xfId="56" applyFont="1" applyFill="1" applyProtection="1">
      <alignment/>
      <protection hidden="1"/>
    </xf>
    <xf numFmtId="0" fontId="6" fillId="0" borderId="0" xfId="0" applyFont="1" applyFill="1" applyAlignment="1">
      <alignment vertical="center" wrapText="1"/>
    </xf>
    <xf numFmtId="0" fontId="11" fillId="0" borderId="18" xfId="0" applyFont="1" applyFill="1" applyBorder="1" applyAlignment="1" applyProtection="1">
      <alignment horizontal="left" wrapText="1"/>
      <protection hidden="1"/>
    </xf>
    <xf numFmtId="0" fontId="11" fillId="0" borderId="18" xfId="0" applyFont="1" applyFill="1" applyBorder="1" applyAlignment="1" applyProtection="1">
      <alignment horizontal="left" vertical="center" wrapText="1"/>
      <protection hidden="1"/>
    </xf>
    <xf numFmtId="49" fontId="13" fillId="0" borderId="26" xfId="56" applyNumberFormat="1" applyFont="1" applyFill="1" applyBorder="1" applyAlignment="1" applyProtection="1">
      <alignment horizontal="center" wrapText="1"/>
      <protection hidden="1"/>
    </xf>
    <xf numFmtId="49" fontId="13" fillId="0" borderId="23" xfId="56" applyNumberFormat="1" applyFont="1" applyFill="1" applyBorder="1" applyAlignment="1" applyProtection="1">
      <alignment horizontal="center" wrapText="1"/>
      <protection hidden="1"/>
    </xf>
    <xf numFmtId="49" fontId="11" fillId="0" borderId="26" xfId="56" applyNumberFormat="1" applyFont="1" applyFill="1" applyBorder="1" applyAlignment="1" applyProtection="1">
      <alignment horizontal="center" wrapText="1"/>
      <protection hidden="1"/>
    </xf>
    <xf numFmtId="0" fontId="16" fillId="0" borderId="0" xfId="56" applyFont="1" applyFill="1" applyBorder="1" applyAlignment="1" applyProtection="1">
      <alignment horizontal="center" vertical="center"/>
      <protection hidden="1"/>
    </xf>
    <xf numFmtId="165" fontId="16" fillId="0" borderId="0" xfId="56" applyNumberFormat="1" applyFont="1" applyFill="1" applyAlignment="1" applyProtection="1">
      <alignment horizontal="center"/>
      <protection hidden="1"/>
    </xf>
    <xf numFmtId="3" fontId="16" fillId="0" borderId="0" xfId="56" applyNumberFormat="1" applyFont="1" applyFill="1" applyProtection="1">
      <alignment/>
      <protection hidden="1"/>
    </xf>
    <xf numFmtId="0" fontId="18" fillId="0" borderId="0" xfId="0" applyFont="1" applyAlignment="1">
      <alignment/>
    </xf>
    <xf numFmtId="49" fontId="16" fillId="0" borderId="0" xfId="56" applyNumberFormat="1" applyFont="1" applyFill="1" applyProtection="1">
      <alignment/>
      <protection hidden="1"/>
    </xf>
    <xf numFmtId="167" fontId="58" fillId="0" borderId="0" xfId="56" applyNumberFormat="1" applyFont="1" applyFill="1" applyProtection="1">
      <alignment/>
      <protection hidden="1"/>
    </xf>
    <xf numFmtId="4" fontId="16" fillId="0" borderId="0" xfId="56" applyNumberFormat="1" applyFont="1" applyFill="1" applyProtection="1">
      <alignment/>
      <protection hidden="1"/>
    </xf>
    <xf numFmtId="49" fontId="13" fillId="0" borderId="26" xfId="56" applyNumberFormat="1" applyFont="1" applyFill="1" applyBorder="1" applyAlignment="1" applyProtection="1">
      <alignment horizontal="center" vertical="center" wrapText="1"/>
      <protection hidden="1"/>
    </xf>
    <xf numFmtId="49" fontId="13" fillId="0" borderId="23" xfId="56" applyNumberFormat="1" applyFont="1" applyFill="1" applyBorder="1" applyAlignment="1" applyProtection="1">
      <alignment horizontal="center" vertical="center" wrapText="1"/>
      <protection hidden="1"/>
    </xf>
    <xf numFmtId="49" fontId="11" fillId="0" borderId="26" xfId="56" applyNumberFormat="1" applyFont="1" applyFill="1" applyBorder="1" applyAlignment="1" applyProtection="1">
      <alignment horizontal="center" vertical="center" wrapText="1"/>
      <protection hidden="1"/>
    </xf>
    <xf numFmtId="49" fontId="11" fillId="0" borderId="23" xfId="56" applyNumberFormat="1" applyFont="1" applyFill="1" applyBorder="1" applyAlignment="1" applyProtection="1">
      <alignment horizontal="center" vertical="center" wrapText="1"/>
      <protection hidden="1"/>
    </xf>
    <xf numFmtId="49" fontId="13" fillId="33" borderId="24" xfId="56" applyNumberFormat="1" applyFont="1" applyFill="1" applyBorder="1" applyAlignment="1" applyProtection="1">
      <alignment horizontal="center" wrapText="1"/>
      <protection hidden="1"/>
    </xf>
    <xf numFmtId="0" fontId="11" fillId="0" borderId="0" xfId="56" applyFont="1" applyFill="1" applyBorder="1" applyAlignment="1" applyProtection="1">
      <alignment horizontal="left" vertical="center" wrapText="1"/>
      <protection hidden="1"/>
    </xf>
    <xf numFmtId="49" fontId="11" fillId="0" borderId="0" xfId="56" applyNumberFormat="1" applyFont="1" applyFill="1" applyBorder="1" applyAlignment="1" applyProtection="1">
      <alignment horizontal="center" vertical="center"/>
      <protection hidden="1"/>
    </xf>
    <xf numFmtId="49" fontId="11" fillId="0" borderId="0" xfId="56" applyNumberFormat="1" applyFont="1" applyFill="1" applyBorder="1" applyAlignment="1" applyProtection="1">
      <alignment horizontal="center" wrapText="1"/>
      <protection hidden="1"/>
    </xf>
    <xf numFmtId="49" fontId="11" fillId="0" borderId="34" xfId="56" applyNumberFormat="1" applyFont="1" applyFill="1" applyBorder="1" applyAlignment="1" applyProtection="1">
      <alignment horizontal="center" wrapText="1"/>
      <protection hidden="1"/>
    </xf>
    <xf numFmtId="0" fontId="12" fillId="4" borderId="24" xfId="56" applyFont="1" applyFill="1" applyBorder="1" applyAlignment="1" applyProtection="1">
      <alignment horizontal="left" vertical="center" wrapText="1"/>
      <protection hidden="1"/>
    </xf>
    <xf numFmtId="49" fontId="12" fillId="4" borderId="24" xfId="56" applyNumberFormat="1" applyFont="1" applyFill="1" applyBorder="1" applyAlignment="1" applyProtection="1">
      <alignment horizontal="center" vertical="center"/>
      <protection hidden="1"/>
    </xf>
    <xf numFmtId="49" fontId="11" fillId="0" borderId="20" xfId="56" applyNumberFormat="1" applyFont="1" applyFill="1" applyBorder="1" applyAlignment="1" applyProtection="1">
      <alignment horizontal="center" vertical="center" wrapText="1"/>
      <protection hidden="1"/>
    </xf>
    <xf numFmtId="49" fontId="11" fillId="0" borderId="35" xfId="56" applyNumberFormat="1" applyFont="1" applyFill="1" applyBorder="1" applyAlignment="1" applyProtection="1">
      <alignment horizontal="center" vertical="center" wrapText="1"/>
      <protection hidden="1"/>
    </xf>
    <xf numFmtId="49" fontId="11" fillId="0" borderId="36" xfId="56" applyNumberFormat="1" applyFont="1" applyFill="1" applyBorder="1" applyAlignment="1" applyProtection="1">
      <alignment horizontal="center" vertical="center" wrapText="1"/>
      <protection hidden="1"/>
    </xf>
    <xf numFmtId="4" fontId="16" fillId="0" borderId="0" xfId="56" applyNumberFormat="1" applyFont="1" applyFill="1" applyAlignment="1" applyProtection="1">
      <alignment horizontal="center"/>
      <protection hidden="1"/>
    </xf>
    <xf numFmtId="4" fontId="16" fillId="0" borderId="0" xfId="56" applyNumberFormat="1" applyFont="1" applyFill="1" applyBorder="1" applyAlignment="1" applyProtection="1">
      <alignment horizontal="right" vertical="center"/>
      <protection hidden="1"/>
    </xf>
    <xf numFmtId="4" fontId="14" fillId="4" borderId="24" xfId="56" applyNumberFormat="1" applyFont="1" applyFill="1" applyBorder="1" applyAlignment="1" applyProtection="1">
      <alignment horizontal="right" vertical="center"/>
      <protection hidden="1"/>
    </xf>
    <xf numFmtId="4" fontId="58" fillId="0" borderId="0" xfId="56" applyNumberFormat="1" applyFont="1" applyFill="1" applyProtection="1">
      <alignment/>
      <protection hidden="1"/>
    </xf>
    <xf numFmtId="4" fontId="14" fillId="33" borderId="18" xfId="56" applyNumberFormat="1" applyFont="1" applyFill="1" applyBorder="1" applyAlignment="1" applyProtection="1">
      <alignment horizontal="right"/>
      <protection hidden="1"/>
    </xf>
    <xf numFmtId="4" fontId="26" fillId="0" borderId="18" xfId="56" applyNumberFormat="1" applyFont="1" applyFill="1" applyBorder="1" applyAlignment="1" applyProtection="1">
      <alignment horizontal="right" vertical="center"/>
      <protection hidden="1"/>
    </xf>
    <xf numFmtId="4" fontId="27" fillId="0" borderId="18" xfId="56" applyNumberFormat="1" applyFont="1" applyFill="1" applyBorder="1" applyAlignment="1" applyProtection="1">
      <alignment horizontal="right"/>
      <protection hidden="1"/>
    </xf>
    <xf numFmtId="4" fontId="16" fillId="0" borderId="18" xfId="56" applyNumberFormat="1" applyFont="1" applyFill="1" applyBorder="1" applyAlignment="1" applyProtection="1">
      <alignment horizontal="right"/>
      <protection hidden="1"/>
    </xf>
    <xf numFmtId="4" fontId="53" fillId="0" borderId="18" xfId="56" applyNumberFormat="1" applyFont="1" applyFill="1" applyBorder="1" applyAlignment="1" applyProtection="1">
      <alignment horizontal="right"/>
      <protection hidden="1"/>
    </xf>
    <xf numFmtId="4" fontId="14" fillId="33" borderId="18" xfId="56" applyNumberFormat="1" applyFont="1" applyFill="1" applyBorder="1" applyProtection="1">
      <alignment/>
      <protection hidden="1"/>
    </xf>
    <xf numFmtId="4" fontId="16" fillId="34" borderId="18" xfId="56" applyNumberFormat="1" applyFont="1" applyFill="1" applyBorder="1" applyAlignment="1" applyProtection="1">
      <alignment horizontal="right"/>
      <protection hidden="1"/>
    </xf>
    <xf numFmtId="4" fontId="27" fillId="34" borderId="18" xfId="56" applyNumberFormat="1" applyFont="1" applyFill="1" applyBorder="1" applyAlignment="1" applyProtection="1">
      <alignment horizontal="right"/>
      <protection hidden="1"/>
    </xf>
    <xf numFmtId="4" fontId="27" fillId="0" borderId="19" xfId="56" applyNumberFormat="1" applyFont="1" applyFill="1" applyBorder="1" applyAlignment="1" applyProtection="1">
      <alignment horizontal="right"/>
      <protection hidden="1"/>
    </xf>
    <xf numFmtId="4" fontId="16" fillId="0" borderId="19" xfId="56" applyNumberFormat="1" applyFont="1" applyFill="1" applyBorder="1" applyAlignment="1" applyProtection="1">
      <alignment horizontal="right"/>
      <protection hidden="1"/>
    </xf>
    <xf numFmtId="4" fontId="26" fillId="0" borderId="18" xfId="56" applyNumberFormat="1" applyFont="1" applyFill="1" applyBorder="1" applyAlignment="1" applyProtection="1">
      <alignment horizontal="right"/>
      <protection hidden="1"/>
    </xf>
    <xf numFmtId="4" fontId="27" fillId="0" borderId="18" xfId="56" applyNumberFormat="1" applyFont="1" applyFill="1" applyBorder="1" applyAlignment="1" applyProtection="1">
      <alignment horizontal="right"/>
      <protection hidden="1"/>
    </xf>
    <xf numFmtId="4" fontId="16" fillId="0" borderId="18" xfId="56" applyNumberFormat="1" applyFont="1" applyFill="1" applyBorder="1" applyAlignment="1" applyProtection="1">
      <alignment horizontal="right"/>
      <protection hidden="1"/>
    </xf>
    <xf numFmtId="4" fontId="25" fillId="0" borderId="18" xfId="56" applyNumberFormat="1" applyFont="1" applyFill="1" applyBorder="1" applyAlignment="1" applyProtection="1">
      <alignment horizontal="right"/>
      <protection hidden="1"/>
    </xf>
    <xf numFmtId="4" fontId="26" fillId="0" borderId="18" xfId="56" applyNumberFormat="1" applyFont="1" applyFill="1" applyBorder="1" applyAlignment="1" applyProtection="1">
      <alignment horizontal="right"/>
      <protection hidden="1"/>
    </xf>
    <xf numFmtId="4" fontId="27" fillId="0" borderId="18" xfId="56" applyNumberFormat="1" applyFont="1" applyFill="1" applyBorder="1" applyAlignment="1" applyProtection="1">
      <alignment horizontal="right" vertical="center"/>
      <protection hidden="1"/>
    </xf>
    <xf numFmtId="4" fontId="14" fillId="0" borderId="18" xfId="56" applyNumberFormat="1" applyFont="1" applyFill="1" applyBorder="1" applyAlignment="1" applyProtection="1">
      <alignment horizontal="right"/>
      <protection hidden="1"/>
    </xf>
    <xf numFmtId="4" fontId="16" fillId="0" borderId="0" xfId="56" applyNumberFormat="1" applyFont="1" applyFill="1" applyBorder="1" applyAlignment="1" applyProtection="1">
      <alignment horizontal="right"/>
      <protection hidden="1"/>
    </xf>
    <xf numFmtId="4" fontId="16" fillId="0" borderId="0" xfId="56" applyNumberFormat="1" applyFont="1" applyFill="1" applyAlignment="1" applyProtection="1">
      <alignment horizontal="right" vertical="center"/>
      <protection hidden="1"/>
    </xf>
    <xf numFmtId="4" fontId="16" fillId="0" borderId="0" xfId="56" applyNumberFormat="1" applyFont="1" applyFill="1" applyAlignment="1" applyProtection="1">
      <alignment horizontal="right"/>
      <protection hidden="1"/>
    </xf>
    <xf numFmtId="4" fontId="16" fillId="0" borderId="18" xfId="56" applyNumberFormat="1" applyFont="1" applyFill="1" applyBorder="1" applyAlignment="1" applyProtection="1">
      <alignment horizontal="right" wrapText="1"/>
      <protection hidden="1"/>
    </xf>
    <xf numFmtId="4" fontId="16" fillId="0" borderId="18" xfId="56" applyNumberFormat="1" applyFont="1" applyFill="1" applyBorder="1" applyAlignment="1" applyProtection="1">
      <alignment horizontal="right" wrapText="1"/>
      <protection hidden="1"/>
    </xf>
    <xf numFmtId="4" fontId="16" fillId="0" borderId="18" xfId="56" applyNumberFormat="1" applyFont="1" applyFill="1" applyBorder="1" applyAlignment="1" applyProtection="1">
      <alignment horizontal="right" vertical="center"/>
      <protection hidden="1"/>
    </xf>
    <xf numFmtId="4" fontId="16" fillId="0" borderId="0" xfId="56" applyNumberFormat="1" applyFont="1" applyFill="1" applyBorder="1" applyAlignment="1" applyProtection="1">
      <alignment horizontal="right" wrapText="1"/>
      <protection hidden="1"/>
    </xf>
    <xf numFmtId="4" fontId="16" fillId="35" borderId="0" xfId="56" applyNumberFormat="1" applyFont="1" applyFill="1" applyAlignment="1" applyProtection="1">
      <alignment horizontal="right"/>
      <protection hidden="1"/>
    </xf>
    <xf numFmtId="165" fontId="16" fillId="35" borderId="0" xfId="56" applyNumberFormat="1" applyFont="1" applyFill="1" applyAlignment="1" applyProtection="1">
      <alignment horizontal="right"/>
      <protection hidden="1"/>
    </xf>
    <xf numFmtId="165" fontId="14" fillId="34" borderId="18" xfId="56" applyNumberFormat="1" applyFont="1" applyFill="1" applyBorder="1" applyAlignment="1" applyProtection="1">
      <alignment horizontal="right"/>
      <protection hidden="1"/>
    </xf>
    <xf numFmtId="4" fontId="14" fillId="0" borderId="0" xfId="56" applyNumberFormat="1" applyFont="1" applyFill="1" applyBorder="1" applyAlignment="1" applyProtection="1">
      <alignment horizontal="right"/>
      <protection hidden="1"/>
    </xf>
    <xf numFmtId="0" fontId="11" fillId="34" borderId="18" xfId="56" applyFont="1" applyFill="1" applyBorder="1" applyAlignment="1" applyProtection="1">
      <alignment horizontal="left" vertical="center" wrapText="1"/>
      <protection hidden="1"/>
    </xf>
    <xf numFmtId="4" fontId="53" fillId="0" borderId="18" xfId="56" applyNumberFormat="1" applyFont="1" applyFill="1" applyBorder="1" applyAlignment="1" applyProtection="1">
      <alignment horizontal="right"/>
      <protection hidden="1"/>
    </xf>
    <xf numFmtId="4" fontId="53" fillId="0" borderId="0" xfId="56" applyNumberFormat="1" applyFont="1" applyFill="1" applyProtection="1">
      <alignment/>
      <protection hidden="1"/>
    </xf>
    <xf numFmtId="0" fontId="11" fillId="34" borderId="18" xfId="0" applyFont="1" applyFill="1" applyBorder="1" applyAlignment="1" applyProtection="1">
      <alignment wrapText="1"/>
      <protection hidden="1"/>
    </xf>
    <xf numFmtId="49" fontId="11" fillId="34" borderId="18" xfId="56" applyNumberFormat="1" applyFont="1" applyFill="1" applyBorder="1" applyAlignment="1" applyProtection="1">
      <alignment horizontal="center" wrapText="1"/>
      <protection hidden="1"/>
    </xf>
    <xf numFmtId="4" fontId="16" fillId="34" borderId="0" xfId="56" applyNumberFormat="1" applyFont="1" applyFill="1" applyProtection="1">
      <alignment/>
      <protection hidden="1"/>
    </xf>
    <xf numFmtId="0" fontId="11" fillId="34" borderId="18" xfId="56" applyFont="1" applyFill="1" applyBorder="1" applyAlignment="1" applyProtection="1">
      <alignment horizontal="left" vertical="center" wrapText="1"/>
      <protection hidden="1"/>
    </xf>
    <xf numFmtId="0" fontId="10" fillId="34" borderId="18" xfId="56" applyFont="1" applyFill="1" applyBorder="1" applyAlignment="1" applyProtection="1">
      <alignment horizontal="left" vertical="center" wrapText="1"/>
      <protection hidden="1"/>
    </xf>
    <xf numFmtId="4" fontId="11" fillId="0" borderId="37" xfId="56" applyNumberFormat="1" applyFont="1" applyFill="1" applyBorder="1" applyAlignment="1" applyProtection="1">
      <alignment horizontal="center" vertical="center"/>
      <protection hidden="1"/>
    </xf>
    <xf numFmtId="4" fontId="59" fillId="0" borderId="38" xfId="56" applyNumberFormat="1" applyFont="1" applyFill="1" applyBorder="1" applyAlignment="1" applyProtection="1">
      <alignment horizontal="center" vertical="center"/>
      <protection hidden="1"/>
    </xf>
    <xf numFmtId="49" fontId="17" fillId="0" borderId="0" xfId="56" applyNumberFormat="1" applyFont="1" applyFill="1" applyAlignment="1" applyProtection="1">
      <alignment/>
      <protection hidden="1"/>
    </xf>
    <xf numFmtId="0" fontId="18" fillId="0" borderId="0" xfId="0" applyFont="1" applyAlignment="1">
      <alignment/>
    </xf>
    <xf numFmtId="165" fontId="14" fillId="4" borderId="18" xfId="56" applyNumberFormat="1" applyFont="1" applyFill="1" applyBorder="1" applyAlignment="1" applyProtection="1">
      <alignment horizontal="right"/>
      <protection hidden="1"/>
    </xf>
    <xf numFmtId="165" fontId="16" fillId="34" borderId="18" xfId="56" applyNumberFormat="1" applyFont="1" applyFill="1" applyBorder="1" applyAlignment="1" applyProtection="1">
      <alignment horizontal="right"/>
      <protection hidden="1"/>
    </xf>
    <xf numFmtId="165" fontId="14" fillId="34" borderId="18" xfId="56" applyNumberFormat="1" applyFont="1" applyFill="1" applyBorder="1" applyAlignment="1" applyProtection="1">
      <alignment horizontal="right"/>
      <protection hidden="1"/>
    </xf>
    <xf numFmtId="0" fontId="9" fillId="0" borderId="22" xfId="0" applyFont="1" applyBorder="1" applyAlignment="1">
      <alignment horizontal="center" vertical="center" textRotation="90" wrapText="1"/>
    </xf>
    <xf numFmtId="0" fontId="9" fillId="0" borderId="22" xfId="0" applyFont="1" applyBorder="1" applyAlignment="1">
      <alignment horizontal="center" vertical="top" wrapText="1"/>
    </xf>
    <xf numFmtId="0" fontId="9" fillId="0" borderId="39" xfId="0" applyFont="1" applyBorder="1" applyAlignment="1">
      <alignment horizontal="center" vertical="center" textRotation="90" wrapText="1"/>
    </xf>
    <xf numFmtId="4" fontId="9" fillId="0" borderId="39" xfId="0" applyNumberFormat="1" applyFont="1" applyBorder="1" applyAlignment="1">
      <alignment horizontal="center" vertical="center" wrapText="1"/>
    </xf>
    <xf numFmtId="0" fontId="9" fillId="0" borderId="39" xfId="0" applyFont="1" applyBorder="1" applyAlignment="1">
      <alignment horizontal="center" vertical="center" wrapText="1"/>
    </xf>
    <xf numFmtId="4" fontId="16" fillId="0" borderId="22" xfId="0" applyNumberFormat="1" applyFont="1" applyFill="1" applyBorder="1" applyAlignment="1">
      <alignment horizontal="center" vertical="center"/>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justify" vertical="center"/>
    </xf>
    <xf numFmtId="0" fontId="9" fillId="0" borderId="40" xfId="0" applyFont="1" applyBorder="1" applyAlignment="1">
      <alignment horizontal="left" vertical="center" wrapText="1"/>
    </xf>
    <xf numFmtId="0" fontId="9" fillId="0" borderId="0" xfId="0" applyFont="1" applyBorder="1" applyAlignment="1">
      <alignment horizontal="left"/>
    </xf>
    <xf numFmtId="0" fontId="9" fillId="0" borderId="0" xfId="0" applyFont="1" applyBorder="1" applyAlignment="1">
      <alignment horizontal="left" vertical="center"/>
    </xf>
    <xf numFmtId="4" fontId="0" fillId="0" borderId="0" xfId="0" applyNumberFormat="1" applyBorder="1" applyAlignment="1">
      <alignment/>
    </xf>
    <xf numFmtId="0" fontId="0" fillId="0" borderId="0" xfId="0" applyBorder="1" applyAlignment="1">
      <alignment/>
    </xf>
    <xf numFmtId="0" fontId="41" fillId="0" borderId="0" xfId="0" applyFont="1" applyBorder="1" applyAlignment="1">
      <alignment/>
    </xf>
    <xf numFmtId="213" fontId="41" fillId="0" borderId="0" xfId="0" applyNumberFormat="1" applyFont="1" applyBorder="1" applyAlignment="1">
      <alignment/>
    </xf>
    <xf numFmtId="0" fontId="24" fillId="0" borderId="0" xfId="0" applyFont="1" applyFill="1" applyBorder="1" applyAlignment="1">
      <alignment/>
    </xf>
    <xf numFmtId="165" fontId="6" fillId="34" borderId="20" xfId="56" applyNumberFormat="1" applyFont="1" applyFill="1" applyBorder="1" applyAlignment="1" applyProtection="1">
      <alignment horizontal="center" vertical="center" wrapText="1"/>
      <protection hidden="1"/>
    </xf>
    <xf numFmtId="49" fontId="11" fillId="34" borderId="18" xfId="0" applyNumberFormat="1" applyFont="1" applyFill="1" applyBorder="1" applyAlignment="1" applyProtection="1">
      <alignment horizontal="center" vertical="center" wrapText="1"/>
      <protection hidden="1"/>
    </xf>
    <xf numFmtId="0" fontId="11" fillId="0" borderId="11" xfId="0" applyFont="1" applyFill="1" applyBorder="1" applyAlignment="1" applyProtection="1">
      <alignment horizontal="left" vertical="top" wrapText="1"/>
      <protection hidden="1"/>
    </xf>
    <xf numFmtId="49" fontId="17" fillId="36" borderId="11" xfId="0" applyNumberFormat="1" applyFont="1" applyFill="1" applyBorder="1" applyAlignment="1" applyProtection="1">
      <alignment horizontal="center" vertical="center" wrapText="1"/>
      <protection hidden="1"/>
    </xf>
    <xf numFmtId="165" fontId="60" fillId="0" borderId="11" xfId="0" applyNumberFormat="1" applyFont="1" applyFill="1" applyBorder="1" applyAlignment="1" applyProtection="1">
      <alignment horizontal="center" vertical="center" wrapText="1"/>
      <protection hidden="1"/>
    </xf>
    <xf numFmtId="0" fontId="7" fillId="0" borderId="41" xfId="0" applyFont="1" applyBorder="1" applyAlignment="1" applyProtection="1">
      <alignment horizontal="center" vertical="top" wrapText="1"/>
      <protection hidden="1"/>
    </xf>
    <xf numFmtId="0" fontId="7" fillId="0" borderId="24" xfId="0" applyFont="1" applyBorder="1" applyAlignment="1" applyProtection="1">
      <alignment horizontal="justify" vertical="top" wrapText="1"/>
      <protection hidden="1"/>
    </xf>
    <xf numFmtId="165" fontId="27" fillId="0" borderId="24" xfId="0" applyNumberFormat="1" applyFont="1" applyFill="1" applyBorder="1" applyAlignment="1" applyProtection="1">
      <alignment/>
      <protection hidden="1"/>
    </xf>
    <xf numFmtId="0" fontId="18" fillId="0" borderId="41" xfId="0" applyFont="1" applyBorder="1" applyAlignment="1" applyProtection="1">
      <alignment horizontal="center" vertical="top" wrapText="1"/>
      <protection hidden="1"/>
    </xf>
    <xf numFmtId="0" fontId="18" fillId="0" borderId="24" xfId="0" applyFont="1" applyBorder="1" applyAlignment="1" applyProtection="1">
      <alignment horizontal="justify" vertical="top" wrapText="1"/>
      <protection hidden="1"/>
    </xf>
    <xf numFmtId="0" fontId="7" fillId="0" borderId="26" xfId="0" applyFont="1" applyBorder="1" applyAlignment="1" applyProtection="1">
      <alignment horizontal="center" vertical="top" wrapText="1"/>
      <protection hidden="1"/>
    </xf>
    <xf numFmtId="0" fontId="18" fillId="0" borderId="18" xfId="0" applyFont="1" applyBorder="1" applyAlignment="1" applyProtection="1">
      <alignment horizontal="left" vertical="top" wrapText="1"/>
      <protection hidden="1"/>
    </xf>
    <xf numFmtId="3" fontId="15" fillId="0" borderId="42" xfId="0" applyNumberFormat="1" applyFont="1" applyFill="1" applyBorder="1" applyAlignment="1">
      <alignment/>
    </xf>
    <xf numFmtId="3" fontId="15" fillId="0" borderId="43" xfId="0" applyNumberFormat="1" applyFont="1" applyFill="1" applyBorder="1" applyAlignment="1">
      <alignment/>
    </xf>
    <xf numFmtId="165" fontId="17" fillId="0" borderId="18" xfId="0" applyNumberFormat="1" applyFont="1" applyBorder="1" applyAlignment="1">
      <alignment/>
    </xf>
    <xf numFmtId="49" fontId="17" fillId="0" borderId="0" xfId="56" applyNumberFormat="1" applyFont="1" applyFill="1" applyAlignment="1" applyProtection="1">
      <alignment horizontal="left" vertical="center"/>
      <protection locked="0"/>
    </xf>
    <xf numFmtId="0" fontId="17" fillId="0" borderId="0" xfId="0" applyFont="1" applyFill="1" applyAlignment="1">
      <alignment horizontal="left" vertical="center"/>
    </xf>
    <xf numFmtId="0" fontId="11" fillId="34" borderId="23" xfId="0" applyFont="1" applyFill="1" applyBorder="1" applyAlignment="1" applyProtection="1">
      <alignment wrapText="1"/>
      <protection hidden="1"/>
    </xf>
    <xf numFmtId="0" fontId="13" fillId="34" borderId="23" xfId="0" applyFont="1" applyFill="1" applyBorder="1" applyAlignment="1" applyProtection="1">
      <alignment wrapText="1"/>
      <protection hidden="1"/>
    </xf>
    <xf numFmtId="49" fontId="11" fillId="34" borderId="44" xfId="0" applyNumberFormat="1" applyFont="1" applyFill="1" applyBorder="1" applyAlignment="1" applyProtection="1">
      <alignment horizontal="center"/>
      <protection hidden="1"/>
    </xf>
    <xf numFmtId="49" fontId="11" fillId="34" borderId="45" xfId="0" applyNumberFormat="1" applyFont="1" applyFill="1" applyBorder="1" applyAlignment="1" applyProtection="1">
      <alignment horizontal="center"/>
      <protection hidden="1"/>
    </xf>
    <xf numFmtId="49" fontId="11" fillId="34" borderId="46" xfId="0" applyNumberFormat="1" applyFont="1" applyFill="1" applyBorder="1" applyAlignment="1" applyProtection="1">
      <alignment horizontal="center"/>
      <protection hidden="1"/>
    </xf>
    <xf numFmtId="49" fontId="11" fillId="34" borderId="47" xfId="0" applyNumberFormat="1" applyFont="1" applyFill="1" applyBorder="1" applyAlignment="1" applyProtection="1">
      <alignment horizontal="center"/>
      <protection hidden="1"/>
    </xf>
    <xf numFmtId="49" fontId="11" fillId="34" borderId="48" xfId="0" applyNumberFormat="1" applyFont="1" applyFill="1" applyBorder="1" applyAlignment="1" applyProtection="1">
      <alignment horizontal="center"/>
      <protection hidden="1"/>
    </xf>
    <xf numFmtId="0" fontId="11" fillId="34" borderId="11" xfId="0" applyFont="1" applyFill="1" applyBorder="1" applyAlignment="1" applyProtection="1">
      <alignment wrapText="1"/>
      <protection hidden="1"/>
    </xf>
    <xf numFmtId="49" fontId="17" fillId="0" borderId="49" xfId="0" applyNumberFormat="1" applyFont="1" applyFill="1" applyBorder="1" applyAlignment="1">
      <alignment horizontal="center" vertical="center" wrapText="1"/>
    </xf>
    <xf numFmtId="49" fontId="17" fillId="0" borderId="41" xfId="0" applyNumberFormat="1" applyFont="1" applyFill="1" applyBorder="1" applyAlignment="1">
      <alignment horizontal="center" vertical="center" wrapText="1"/>
    </xf>
    <xf numFmtId="0" fontId="11" fillId="34" borderId="22" xfId="0" applyFont="1" applyFill="1" applyBorder="1" applyAlignment="1" applyProtection="1">
      <alignment vertical="center" wrapText="1"/>
      <protection hidden="1"/>
    </xf>
    <xf numFmtId="49" fontId="11" fillId="0" borderId="12" xfId="0" applyNumberFormat="1" applyFont="1" applyBorder="1" applyAlignment="1" applyProtection="1">
      <alignment horizontal="center" vertical="center" wrapText="1"/>
      <protection hidden="1"/>
    </xf>
    <xf numFmtId="49" fontId="11" fillId="34" borderId="49" xfId="0" applyNumberFormat="1" applyFont="1" applyFill="1" applyBorder="1" applyAlignment="1" applyProtection="1">
      <alignment horizontal="center"/>
      <protection hidden="1"/>
    </xf>
    <xf numFmtId="49" fontId="11" fillId="34" borderId="50" xfId="0" applyNumberFormat="1" applyFont="1" applyFill="1" applyBorder="1" applyAlignment="1" applyProtection="1">
      <alignment horizontal="center" vertical="center"/>
      <protection hidden="1"/>
    </xf>
    <xf numFmtId="0" fontId="11" fillId="34" borderId="22" xfId="0" applyFont="1" applyFill="1" applyBorder="1" applyAlignment="1" applyProtection="1">
      <alignment wrapText="1"/>
      <protection hidden="1"/>
    </xf>
    <xf numFmtId="0" fontId="19" fillId="0" borderId="0" xfId="0" applyFont="1" applyFill="1" applyAlignment="1">
      <alignment horizontal="center"/>
    </xf>
    <xf numFmtId="0" fontId="15" fillId="0" borderId="51" xfId="56" applyFont="1" applyFill="1" applyBorder="1" applyAlignment="1" applyProtection="1">
      <alignment horizontal="center" vertical="center"/>
      <protection hidden="1"/>
    </xf>
    <xf numFmtId="0" fontId="15" fillId="0" borderId="52" xfId="56" applyFont="1" applyFill="1" applyBorder="1" applyAlignment="1" applyProtection="1">
      <alignment horizontal="center" vertical="center"/>
      <protection hidden="1"/>
    </xf>
    <xf numFmtId="0" fontId="14" fillId="0" borderId="0" xfId="56" applyFont="1" applyFill="1" applyAlignment="1" applyProtection="1">
      <alignment horizontal="center" vertical="center"/>
      <protection hidden="1"/>
    </xf>
    <xf numFmtId="3" fontId="14" fillId="0" borderId="0" xfId="56" applyNumberFormat="1" applyFont="1" applyFill="1" applyBorder="1" applyAlignment="1" applyProtection="1">
      <alignment horizontal="center" wrapText="1"/>
      <protection hidden="1"/>
    </xf>
    <xf numFmtId="3" fontId="15" fillId="0" borderId="33" xfId="56" applyNumberFormat="1" applyFont="1" applyFill="1" applyBorder="1" applyAlignment="1" applyProtection="1">
      <alignment horizontal="center" vertical="center"/>
      <protection hidden="1"/>
    </xf>
    <xf numFmtId="3" fontId="15" fillId="0" borderId="53" xfId="56" applyNumberFormat="1" applyFont="1" applyFill="1" applyBorder="1" applyAlignment="1" applyProtection="1">
      <alignment horizontal="center" vertical="center"/>
      <protection hidden="1"/>
    </xf>
    <xf numFmtId="49" fontId="15" fillId="0" borderId="33" xfId="56" applyNumberFormat="1" applyFont="1" applyFill="1" applyBorder="1" applyAlignment="1" applyProtection="1">
      <alignment horizontal="center" vertical="center" wrapText="1"/>
      <protection hidden="1"/>
    </xf>
    <xf numFmtId="49" fontId="15" fillId="0" borderId="53" xfId="56" applyNumberFormat="1" applyFont="1" applyFill="1" applyBorder="1" applyAlignment="1" applyProtection="1">
      <alignment horizontal="center" vertical="center" wrapText="1"/>
      <protection hidden="1"/>
    </xf>
    <xf numFmtId="0" fontId="57" fillId="0" borderId="26" xfId="56" applyFont="1" applyFill="1" applyBorder="1" applyAlignment="1" applyProtection="1">
      <alignment horizontal="left" vertical="center" wrapText="1"/>
      <protection hidden="1"/>
    </xf>
    <xf numFmtId="0" fontId="57" fillId="0" borderId="54" xfId="56" applyFont="1" applyFill="1" applyBorder="1" applyAlignment="1" applyProtection="1">
      <alignment horizontal="left" vertical="center" wrapText="1"/>
      <protection hidden="1"/>
    </xf>
    <xf numFmtId="0" fontId="57" fillId="0" borderId="23" xfId="56" applyFont="1" applyFill="1" applyBorder="1" applyAlignment="1" applyProtection="1">
      <alignment horizontal="left" vertical="center" wrapText="1"/>
      <protection hidden="1"/>
    </xf>
    <xf numFmtId="0" fontId="14" fillId="0" borderId="0" xfId="56" applyFont="1" applyFill="1" applyBorder="1" applyAlignment="1" applyProtection="1">
      <alignment horizontal="center" vertical="center"/>
      <protection hidden="1" locked="0"/>
    </xf>
    <xf numFmtId="0" fontId="15" fillId="0" borderId="32" xfId="56" applyFont="1" applyFill="1" applyBorder="1" applyAlignment="1" applyProtection="1">
      <alignment horizontal="center" vertical="center"/>
      <protection hidden="1"/>
    </xf>
    <xf numFmtId="0" fontId="15" fillId="0" borderId="55" xfId="56" applyFont="1" applyFill="1" applyBorder="1" applyAlignment="1" applyProtection="1">
      <alignment horizontal="center" vertical="center"/>
      <protection hidden="1"/>
    </xf>
    <xf numFmtId="49" fontId="15" fillId="0" borderId="51" xfId="56" applyNumberFormat="1" applyFont="1" applyFill="1" applyBorder="1" applyAlignment="1" applyProtection="1">
      <alignment horizontal="center" vertical="center" wrapText="1"/>
      <protection hidden="1"/>
    </xf>
    <xf numFmtId="49" fontId="15" fillId="0" borderId="56" xfId="56" applyNumberFormat="1" applyFont="1" applyFill="1" applyBorder="1" applyAlignment="1" applyProtection="1">
      <alignment horizontal="center" vertical="center" wrapText="1"/>
      <protection hidden="1"/>
    </xf>
    <xf numFmtId="49" fontId="15" fillId="0" borderId="57" xfId="56" applyNumberFormat="1" applyFont="1" applyFill="1" applyBorder="1" applyAlignment="1" applyProtection="1">
      <alignment horizontal="center" vertical="center" wrapText="1"/>
      <protection hidden="1"/>
    </xf>
    <xf numFmtId="4" fontId="11" fillId="0" borderId="58" xfId="56" applyNumberFormat="1" applyFont="1" applyFill="1" applyBorder="1" applyAlignment="1" applyProtection="1">
      <alignment horizontal="center" vertical="center"/>
      <protection hidden="1"/>
    </xf>
    <xf numFmtId="4" fontId="11" fillId="0" borderId="59" xfId="56" applyNumberFormat="1" applyFont="1" applyFill="1" applyBorder="1" applyAlignment="1" applyProtection="1">
      <alignment horizontal="center" vertical="center"/>
      <protection hidden="1"/>
    </xf>
    <xf numFmtId="49" fontId="17" fillId="0" borderId="0" xfId="56" applyNumberFormat="1" applyFont="1" applyFill="1" applyAlignment="1" applyProtection="1">
      <alignment horizontal="center"/>
      <protection hidden="1"/>
    </xf>
    <xf numFmtId="0" fontId="18" fillId="0" borderId="0" xfId="0" applyFont="1" applyAlignment="1">
      <alignment horizontal="center"/>
    </xf>
    <xf numFmtId="4" fontId="6" fillId="34" borderId="58" xfId="56" applyNumberFormat="1" applyFont="1" applyFill="1" applyBorder="1" applyAlignment="1" applyProtection="1">
      <alignment horizontal="center" vertical="center"/>
      <protection hidden="1"/>
    </xf>
    <xf numFmtId="4" fontId="6" fillId="34" borderId="59" xfId="56" applyNumberFormat="1" applyFont="1" applyFill="1" applyBorder="1" applyAlignment="1" applyProtection="1">
      <alignment horizontal="center" vertical="center"/>
      <protection hidden="1"/>
    </xf>
    <xf numFmtId="0" fontId="14" fillId="0" borderId="0" xfId="56" applyFont="1" applyFill="1" applyBorder="1" applyAlignment="1" applyProtection="1">
      <alignment horizontal="center" vertical="center"/>
      <protection hidden="1"/>
    </xf>
    <xf numFmtId="165" fontId="11" fillId="34" borderId="51" xfId="56" applyNumberFormat="1" applyFont="1" applyFill="1" applyBorder="1" applyAlignment="1" applyProtection="1">
      <alignment horizontal="center" vertical="center"/>
      <protection hidden="1"/>
    </xf>
    <xf numFmtId="165" fontId="11" fillId="34" borderId="52" xfId="56" applyNumberFormat="1" applyFont="1" applyFill="1" applyBorder="1" applyAlignment="1" applyProtection="1">
      <alignment horizontal="center" vertical="center"/>
      <protection hidden="1"/>
    </xf>
    <xf numFmtId="49" fontId="16" fillId="0" borderId="37" xfId="56" applyNumberFormat="1" applyFont="1" applyFill="1" applyBorder="1" applyAlignment="1" applyProtection="1">
      <alignment horizontal="center"/>
      <protection hidden="1"/>
    </xf>
    <xf numFmtId="0" fontId="11" fillId="0" borderId="33" xfId="56" applyFont="1" applyFill="1" applyBorder="1" applyAlignment="1" applyProtection="1">
      <alignment horizontal="center" vertical="center"/>
      <protection hidden="1"/>
    </xf>
    <xf numFmtId="0" fontId="11" fillId="0" borderId="53" xfId="56" applyFont="1" applyFill="1" applyBorder="1" applyAlignment="1" applyProtection="1">
      <alignment horizontal="center" vertical="center"/>
      <protection hidden="1"/>
    </xf>
    <xf numFmtId="4" fontId="11" fillId="0" borderId="33" xfId="56" applyNumberFormat="1" applyFont="1" applyFill="1" applyBorder="1" applyAlignment="1" applyProtection="1">
      <alignment horizontal="center" vertical="center" wrapText="1"/>
      <protection hidden="1"/>
    </xf>
    <xf numFmtId="4" fontId="11" fillId="0" borderId="53" xfId="56" applyNumberFormat="1" applyFont="1" applyFill="1" applyBorder="1" applyAlignment="1" applyProtection="1">
      <alignment horizontal="center" vertical="center" wrapText="1"/>
      <protection hidden="1"/>
    </xf>
    <xf numFmtId="0" fontId="12" fillId="0" borderId="26" xfId="0" applyFont="1" applyBorder="1" applyAlignment="1" applyProtection="1">
      <alignment horizontal="left"/>
      <protection hidden="1"/>
    </xf>
    <xf numFmtId="0" fontId="12" fillId="0" borderId="23" xfId="0" applyFont="1" applyBorder="1" applyAlignment="1" applyProtection="1">
      <alignment horizontal="left"/>
      <protection hidden="1"/>
    </xf>
    <xf numFmtId="3" fontId="19" fillId="0" borderId="0" xfId="0" applyNumberFormat="1" applyFont="1" applyFill="1" applyBorder="1" applyAlignment="1">
      <alignment horizontal="center"/>
    </xf>
    <xf numFmtId="0" fontId="12" fillId="0" borderId="60" xfId="0" applyFont="1" applyBorder="1" applyAlignment="1" applyProtection="1">
      <alignment horizontal="left"/>
      <protection hidden="1"/>
    </xf>
    <xf numFmtId="0" fontId="12" fillId="0" borderId="27" xfId="0" applyFont="1" applyBorder="1" applyAlignment="1" applyProtection="1">
      <alignment horizontal="left"/>
      <protection hidden="1"/>
    </xf>
    <xf numFmtId="0" fontId="17" fillId="0" borderId="26" xfId="0" applyFont="1" applyBorder="1" applyAlignment="1" applyProtection="1">
      <alignment horizontal="left" wrapText="1"/>
      <protection hidden="1"/>
    </xf>
    <xf numFmtId="0" fontId="17" fillId="0" borderId="23" xfId="0" applyFont="1" applyBorder="1" applyAlignment="1" applyProtection="1">
      <alignment horizontal="left" wrapText="1"/>
      <protection hidden="1"/>
    </xf>
    <xf numFmtId="49" fontId="17" fillId="0" borderId="0" xfId="0" applyNumberFormat="1" applyFont="1" applyFill="1" applyAlignment="1">
      <alignment horizontal="left"/>
    </xf>
    <xf numFmtId="0" fontId="17" fillId="0" borderId="0" xfId="0" applyFont="1" applyFill="1" applyAlignment="1">
      <alignment horizontal="left"/>
    </xf>
    <xf numFmtId="0" fontId="17" fillId="0" borderId="11" xfId="0" applyFont="1" applyBorder="1" applyAlignment="1">
      <alignment horizontal="center" vertical="center"/>
    </xf>
    <xf numFmtId="0" fontId="12" fillId="0" borderId="40" xfId="0"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54" applyFont="1" applyFill="1" applyAlignment="1">
      <alignment horizontal="center"/>
      <protection/>
    </xf>
    <xf numFmtId="0" fontId="17" fillId="0" borderId="32" xfId="53" applyFont="1" applyFill="1" applyBorder="1" applyAlignment="1">
      <alignment horizontal="center" vertical="center" textRotation="90" wrapText="1"/>
      <protection/>
    </xf>
    <xf numFmtId="0" fontId="17" fillId="0" borderId="61" xfId="53" applyFont="1" applyFill="1" applyBorder="1" applyAlignment="1">
      <alignment horizontal="center" vertical="center" textRotation="90" wrapText="1"/>
      <protection/>
    </xf>
    <xf numFmtId="0" fontId="17" fillId="0" borderId="55" xfId="53" applyFont="1" applyFill="1" applyBorder="1" applyAlignment="1">
      <alignment horizontal="center" vertical="center" textRotation="90" wrapText="1"/>
      <protection/>
    </xf>
    <xf numFmtId="0" fontId="17" fillId="0" borderId="62" xfId="53" applyFont="1" applyFill="1" applyBorder="1" applyAlignment="1">
      <alignment horizontal="center" vertical="center" wrapText="1"/>
      <protection/>
    </xf>
    <xf numFmtId="0" fontId="17" fillId="0" borderId="11" xfId="53" applyFont="1" applyFill="1" applyBorder="1" applyAlignment="1">
      <alignment horizontal="center" vertical="center" wrapText="1"/>
      <protection/>
    </xf>
    <xf numFmtId="0" fontId="17" fillId="0" borderId="20" xfId="53" applyFont="1" applyFill="1" applyBorder="1" applyAlignment="1">
      <alignment horizontal="center" vertical="center" wrapText="1"/>
      <protection/>
    </xf>
    <xf numFmtId="0" fontId="17" fillId="0" borderId="33" xfId="53" applyFont="1" applyFill="1" applyBorder="1" applyAlignment="1">
      <alignment horizontal="center" vertical="center" wrapText="1"/>
      <protection/>
    </xf>
    <xf numFmtId="0" fontId="17" fillId="0" borderId="63" xfId="53" applyFont="1" applyFill="1" applyBorder="1" applyAlignment="1">
      <alignment horizontal="center" vertical="center" wrapText="1"/>
      <protection/>
    </xf>
    <xf numFmtId="0" fontId="17" fillId="0" borderId="53" xfId="53" applyFont="1" applyFill="1" applyBorder="1" applyAlignment="1">
      <alignment horizontal="center" vertical="center" wrapText="1"/>
      <protection/>
    </xf>
    <xf numFmtId="0" fontId="17" fillId="0" borderId="62" xfId="53" applyFont="1" applyFill="1" applyBorder="1" applyAlignment="1">
      <alignment horizontal="center" vertical="center" textRotation="90" wrapText="1"/>
      <protection/>
    </xf>
    <xf numFmtId="0" fontId="17" fillId="0" borderId="11" xfId="53" applyFont="1" applyFill="1" applyBorder="1" applyAlignment="1">
      <alignment horizontal="center" vertical="center" textRotation="90" wrapText="1"/>
      <protection/>
    </xf>
    <xf numFmtId="0" fontId="17" fillId="0" borderId="20" xfId="53" applyFont="1" applyFill="1" applyBorder="1" applyAlignment="1">
      <alignment horizontal="center" vertical="center" textRotation="90" wrapText="1"/>
      <protection/>
    </xf>
    <xf numFmtId="0" fontId="17" fillId="0" borderId="51" xfId="53" applyFont="1" applyFill="1" applyBorder="1" applyAlignment="1">
      <alignment horizontal="center" vertical="center" wrapText="1"/>
      <protection/>
    </xf>
    <xf numFmtId="0" fontId="17" fillId="0" borderId="56" xfId="53" applyFont="1" applyFill="1" applyBorder="1" applyAlignment="1">
      <alignment horizontal="center" vertical="center" wrapText="1"/>
      <protection/>
    </xf>
    <xf numFmtId="0" fontId="17" fillId="0" borderId="57" xfId="53" applyFont="1" applyFill="1" applyBorder="1" applyAlignment="1">
      <alignment horizontal="center" vertical="center" wrapText="1"/>
      <protection/>
    </xf>
    <xf numFmtId="0" fontId="17" fillId="0" borderId="58" xfId="53" applyFont="1" applyFill="1" applyBorder="1" applyAlignment="1">
      <alignment horizontal="center" vertical="center" wrapText="1"/>
      <protection/>
    </xf>
    <xf numFmtId="0" fontId="17" fillId="0" borderId="37" xfId="53" applyFont="1" applyFill="1" applyBorder="1" applyAlignment="1">
      <alignment horizontal="center" vertical="center" wrapText="1"/>
      <protection/>
    </xf>
    <xf numFmtId="0" fontId="17" fillId="0" borderId="64" xfId="53" applyFont="1" applyFill="1" applyBorder="1" applyAlignment="1">
      <alignment horizontal="center" vertical="center" wrapText="1"/>
      <protection/>
    </xf>
    <xf numFmtId="0" fontId="17" fillId="0" borderId="65" xfId="53" applyFont="1" applyFill="1" applyBorder="1" applyAlignment="1">
      <alignment horizontal="center" vertical="center" wrapText="1"/>
      <protection/>
    </xf>
    <xf numFmtId="0" fontId="17" fillId="0" borderId="66" xfId="53" applyFont="1" applyFill="1" applyBorder="1" applyAlignment="1">
      <alignment horizontal="center" vertical="center" wrapText="1"/>
      <protection/>
    </xf>
    <xf numFmtId="0" fontId="17" fillId="0" borderId="67" xfId="53" applyFont="1" applyFill="1" applyBorder="1" applyAlignment="1">
      <alignment horizontal="center" vertical="center" wrapText="1"/>
      <protection/>
    </xf>
    <xf numFmtId="0" fontId="17" fillId="0" borderId="12" xfId="53" applyFont="1" applyFill="1" applyBorder="1" applyAlignment="1">
      <alignment horizontal="center" vertical="center" wrapText="1"/>
      <protection/>
    </xf>
    <xf numFmtId="0" fontId="17" fillId="0" borderId="40" xfId="53" applyFont="1" applyFill="1" applyBorder="1" applyAlignment="1">
      <alignment horizontal="center" vertical="center" wrapText="1"/>
      <protection/>
    </xf>
    <xf numFmtId="0" fontId="17" fillId="0" borderId="68" xfId="53" applyFont="1" applyFill="1" applyBorder="1" applyAlignment="1">
      <alignment horizontal="center" vertical="center" wrapText="1"/>
      <protection/>
    </xf>
    <xf numFmtId="0" fontId="17" fillId="0" borderId="69" xfId="53" applyFont="1" applyFill="1" applyBorder="1" applyAlignment="1">
      <alignment horizontal="center" vertical="center" textRotation="90" wrapText="1"/>
      <protection/>
    </xf>
    <xf numFmtId="0" fontId="17" fillId="0" borderId="53" xfId="53" applyFont="1" applyFill="1" applyBorder="1" applyAlignment="1">
      <alignment horizontal="center" vertical="center" textRotation="90" wrapText="1"/>
      <protection/>
    </xf>
    <xf numFmtId="0" fontId="17" fillId="0" borderId="63" xfId="53" applyFont="1" applyFill="1" applyBorder="1" applyAlignment="1">
      <alignment horizontal="center" vertical="center" textRotation="90" wrapText="1"/>
      <protection/>
    </xf>
    <xf numFmtId="0" fontId="14" fillId="0" borderId="14" xfId="53" applyFont="1" applyFill="1" applyBorder="1" applyAlignment="1">
      <alignment/>
      <protection/>
    </xf>
    <xf numFmtId="0" fontId="17" fillId="0" borderId="33" xfId="53" applyFont="1" applyFill="1" applyBorder="1" applyAlignment="1">
      <alignment horizontal="center" vertical="center" textRotation="90" wrapText="1"/>
      <protection/>
    </xf>
    <xf numFmtId="0" fontId="14" fillId="33" borderId="12" xfId="0" applyFont="1" applyFill="1" applyBorder="1" applyAlignment="1">
      <alignment horizontal="center" vertical="center"/>
    </xf>
    <xf numFmtId="0" fontId="14" fillId="33" borderId="68" xfId="0" applyFont="1" applyFill="1" applyBorder="1" applyAlignment="1">
      <alignment horizontal="center" vertical="center"/>
    </xf>
    <xf numFmtId="0" fontId="4" fillId="0" borderId="0" xfId="0" applyFont="1" applyAlignment="1">
      <alignment horizontal="center"/>
    </xf>
    <xf numFmtId="0" fontId="40" fillId="0" borderId="0" xfId="0" applyFont="1" applyAlignment="1">
      <alignment horizontal="center" vertical="top"/>
    </xf>
    <xf numFmtId="0" fontId="9" fillId="0" borderId="69" xfId="0" applyFont="1" applyBorder="1" applyAlignment="1">
      <alignment horizontal="center" vertical="top" wrapText="1"/>
    </xf>
    <xf numFmtId="0" fontId="9" fillId="0" borderId="22" xfId="0" applyFont="1" applyBorder="1" applyAlignment="1">
      <alignment horizontal="center" vertical="top" wrapText="1"/>
    </xf>
    <xf numFmtId="0" fontId="9" fillId="0" borderId="11" xfId="0" applyFont="1" applyBorder="1" applyAlignment="1">
      <alignment horizontal="center" vertical="center" textRotation="90" wrapText="1"/>
    </xf>
    <xf numFmtId="4"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69"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0" fillId="0" borderId="22" xfId="0"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ругие долговые обязательства" xfId="53"/>
    <cellStyle name="Обычный_Информация 1" xfId="54"/>
    <cellStyle name="Обычный_Лист Microsoft Excel" xfId="55"/>
    <cellStyle name="Обычный_Прил №2 - ФКР - Бюджет 200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33"/>
  <sheetViews>
    <sheetView showGridLines="0" showZeros="0" zoomScaleSheetLayoutView="75" zoomScalePageLayoutView="0" workbookViewId="0" topLeftCell="A1">
      <selection activeCell="E3" sqref="E3"/>
    </sheetView>
  </sheetViews>
  <sheetFormatPr defaultColWidth="9.25390625" defaultRowHeight="12.75"/>
  <cols>
    <col min="1" max="1" width="21.75390625" style="13" customWidth="1"/>
    <col min="2" max="2" width="61.25390625" style="14" customWidth="1"/>
    <col min="3" max="3" width="13.25390625" style="232" customWidth="1"/>
    <col min="4" max="4" width="13.75390625" style="225" customWidth="1"/>
    <col min="5" max="5" width="12.25390625" style="227" customWidth="1"/>
    <col min="6" max="6" width="8.75390625" style="227" customWidth="1"/>
    <col min="7" max="7" width="9.50390625" style="227" customWidth="1"/>
    <col min="8" max="16384" width="9.25390625" style="10" customWidth="1"/>
  </cols>
  <sheetData>
    <row r="1" spans="1:6" ht="15" customHeight="1">
      <c r="A1" s="9"/>
      <c r="B1" s="314"/>
      <c r="C1" s="238"/>
      <c r="E1" s="509" t="s">
        <v>349</v>
      </c>
      <c r="F1" s="226"/>
    </row>
    <row r="2" spans="1:6" ht="13.5">
      <c r="A2" s="239"/>
      <c r="B2" s="315"/>
      <c r="C2" s="238"/>
      <c r="E2" s="510" t="s">
        <v>912</v>
      </c>
      <c r="F2" s="240"/>
    </row>
    <row r="3" spans="1:6" ht="15" customHeight="1">
      <c r="A3" s="11"/>
      <c r="B3" s="316"/>
      <c r="C3" s="238"/>
      <c r="E3" s="510" t="s">
        <v>1494</v>
      </c>
      <c r="F3" s="228"/>
    </row>
    <row r="4" spans="1:6" ht="13.5">
      <c r="A4" s="239"/>
      <c r="B4" s="315"/>
      <c r="C4" s="240"/>
      <c r="D4" s="240"/>
      <c r="E4" s="240"/>
      <c r="F4" s="240"/>
    </row>
    <row r="5" spans="1:7" ht="13.5">
      <c r="A5" s="526" t="s">
        <v>538</v>
      </c>
      <c r="B5" s="526"/>
      <c r="C5" s="526"/>
      <c r="D5" s="526"/>
      <c r="E5" s="526"/>
      <c r="F5" s="526"/>
      <c r="G5" s="526"/>
    </row>
    <row r="6" spans="1:7" ht="13.5">
      <c r="A6" s="526" t="s">
        <v>539</v>
      </c>
      <c r="B6" s="526"/>
      <c r="C6" s="526"/>
      <c r="D6" s="526"/>
      <c r="E6" s="526"/>
      <c r="F6" s="526"/>
      <c r="G6" s="526"/>
    </row>
    <row r="7" spans="1:7" ht="13.5">
      <c r="A7" s="526" t="s">
        <v>850</v>
      </c>
      <c r="B7" s="526"/>
      <c r="C7" s="526"/>
      <c r="D7" s="526"/>
      <c r="E7" s="526"/>
      <c r="F7" s="526"/>
      <c r="G7" s="526"/>
    </row>
    <row r="8" spans="1:7" ht="14.25" thickBot="1">
      <c r="A8" s="241"/>
      <c r="B8" s="241"/>
      <c r="C8" s="240"/>
      <c r="D8" s="240"/>
      <c r="E8" s="240"/>
      <c r="G8" s="229" t="s">
        <v>1493</v>
      </c>
    </row>
    <row r="9" spans="1:7" ht="66" customHeight="1" thickBot="1">
      <c r="A9" s="308" t="s">
        <v>932</v>
      </c>
      <c r="B9" s="310" t="s">
        <v>919</v>
      </c>
      <c r="C9" s="309" t="s">
        <v>671</v>
      </c>
      <c r="D9" s="309" t="s">
        <v>1170</v>
      </c>
      <c r="E9" s="309" t="s">
        <v>933</v>
      </c>
      <c r="F9" s="311" t="s">
        <v>910</v>
      </c>
      <c r="G9" s="312" t="s">
        <v>911</v>
      </c>
    </row>
    <row r="10" spans="1:7" ht="24" customHeight="1">
      <c r="A10" s="242">
        <v>1</v>
      </c>
      <c r="B10" s="243">
        <v>2</v>
      </c>
      <c r="C10" s="244" t="s">
        <v>540</v>
      </c>
      <c r="D10" s="245">
        <v>4</v>
      </c>
      <c r="E10" s="246">
        <v>5</v>
      </c>
      <c r="F10" s="246">
        <v>6</v>
      </c>
      <c r="G10" s="246">
        <v>7</v>
      </c>
    </row>
    <row r="11" spans="1:7" ht="13.5">
      <c r="A11" s="247"/>
      <c r="B11" s="183" t="s">
        <v>1362</v>
      </c>
      <c r="C11" s="248"/>
      <c r="D11" s="248"/>
      <c r="E11" s="248"/>
      <c r="F11" s="249"/>
      <c r="G11" s="250"/>
    </row>
    <row r="12" spans="1:7" ht="13.5">
      <c r="A12" s="251" t="s">
        <v>1363</v>
      </c>
      <c r="B12" s="252" t="s">
        <v>1364</v>
      </c>
      <c r="C12" s="253">
        <f>C13+C27+C43+C54+C62+C77+C95+C101+C111+C121+C151+C158+C21</f>
        <v>2537740.3</v>
      </c>
      <c r="D12" s="253">
        <f>D13+D27+D43+D54+D62+D77+D95+D101+D111+D121+D151+D158+D21</f>
        <v>3092446.6</v>
      </c>
      <c r="E12" s="253">
        <f>E13+E27+E43+E54+E62+E77+E95+E101+E111+E121+E151+E158+E21</f>
        <v>3333900.8</v>
      </c>
      <c r="F12" s="249">
        <f>E12/C12*100</f>
        <v>131.37281226136497</v>
      </c>
      <c r="G12" s="250">
        <f aca="true" t="shared" si="0" ref="G12:G81">E12/D12*100</f>
        <v>107.80786966539696</v>
      </c>
    </row>
    <row r="13" spans="1:7" ht="13.5">
      <c r="A13" s="254" t="s">
        <v>437</v>
      </c>
      <c r="B13" s="147" t="s">
        <v>438</v>
      </c>
      <c r="C13" s="255">
        <f>C16+C14</f>
        <v>1014141.4</v>
      </c>
      <c r="D13" s="255">
        <f>D16+D14</f>
        <v>979394</v>
      </c>
      <c r="E13" s="255">
        <f>E16+E14</f>
        <v>982550</v>
      </c>
      <c r="F13" s="249">
        <f aca="true" t="shared" si="1" ref="F13:F82">E13/C13*100</f>
        <v>96.88491170955056</v>
      </c>
      <c r="G13" s="250">
        <f t="shared" si="0"/>
        <v>100.32224007906929</v>
      </c>
    </row>
    <row r="14" spans="1:7" ht="13.5" hidden="1">
      <c r="A14" s="256" t="s">
        <v>541</v>
      </c>
      <c r="B14" s="257" t="s">
        <v>542</v>
      </c>
      <c r="C14" s="255">
        <f>C15</f>
        <v>0</v>
      </c>
      <c r="D14" s="255">
        <f>D15</f>
        <v>0</v>
      </c>
      <c r="E14" s="255">
        <f>E15</f>
        <v>0</v>
      </c>
      <c r="F14" s="249" t="e">
        <f t="shared" si="1"/>
        <v>#DIV/0!</v>
      </c>
      <c r="G14" s="250" t="e">
        <f t="shared" si="0"/>
        <v>#DIV/0!</v>
      </c>
    </row>
    <row r="15" spans="1:7" ht="15" customHeight="1" hidden="1">
      <c r="A15" s="256" t="s">
        <v>543</v>
      </c>
      <c r="B15" s="257" t="s">
        <v>544</v>
      </c>
      <c r="C15" s="258">
        <v>0</v>
      </c>
      <c r="D15" s="258">
        <v>0</v>
      </c>
      <c r="E15" s="258">
        <v>0</v>
      </c>
      <c r="F15" s="249" t="e">
        <f t="shared" si="1"/>
        <v>#DIV/0!</v>
      </c>
      <c r="G15" s="250" t="e">
        <f t="shared" si="0"/>
        <v>#DIV/0!</v>
      </c>
    </row>
    <row r="16" spans="1:7" ht="32.25" customHeight="1">
      <c r="A16" s="254" t="s">
        <v>439</v>
      </c>
      <c r="B16" s="252" t="s">
        <v>440</v>
      </c>
      <c r="C16" s="255">
        <f>C17+C18+C19+C20</f>
        <v>1014141.4</v>
      </c>
      <c r="D16" s="255">
        <f>D17+D18+D19+D20</f>
        <v>979394</v>
      </c>
      <c r="E16" s="255">
        <f>E17+E18+E19+E20</f>
        <v>982550</v>
      </c>
      <c r="F16" s="249">
        <f t="shared" si="1"/>
        <v>96.88491170955056</v>
      </c>
      <c r="G16" s="250">
        <f t="shared" si="0"/>
        <v>100.32224007906929</v>
      </c>
    </row>
    <row r="17" spans="1:7" ht="64.5" customHeight="1">
      <c r="A17" s="254" t="s">
        <v>441</v>
      </c>
      <c r="B17" s="150" t="s">
        <v>1321</v>
      </c>
      <c r="C17" s="258">
        <v>1006141.4</v>
      </c>
      <c r="D17" s="258">
        <v>971041.4</v>
      </c>
      <c r="E17" s="258">
        <v>974453.2</v>
      </c>
      <c r="F17" s="249">
        <f t="shared" si="1"/>
        <v>96.85052220294284</v>
      </c>
      <c r="G17" s="250">
        <f t="shared" si="0"/>
        <v>100.35135474141472</v>
      </c>
    </row>
    <row r="18" spans="1:7" ht="72">
      <c r="A18" s="254" t="s">
        <v>442</v>
      </c>
      <c r="B18" s="148" t="s">
        <v>1322</v>
      </c>
      <c r="C18" s="258">
        <v>2000</v>
      </c>
      <c r="D18" s="258">
        <v>1102.6</v>
      </c>
      <c r="E18" s="258">
        <v>1158.9</v>
      </c>
      <c r="F18" s="249">
        <f t="shared" si="1"/>
        <v>57.945</v>
      </c>
      <c r="G18" s="250">
        <f t="shared" si="0"/>
        <v>105.10611282423366</v>
      </c>
    </row>
    <row r="19" spans="1:7" ht="24">
      <c r="A19" s="254" t="s">
        <v>443</v>
      </c>
      <c r="B19" s="149" t="s">
        <v>1189</v>
      </c>
      <c r="C19" s="258">
        <v>6000</v>
      </c>
      <c r="D19" s="258">
        <v>7250</v>
      </c>
      <c r="E19" s="258">
        <v>6937.9</v>
      </c>
      <c r="F19" s="249">
        <f t="shared" si="1"/>
        <v>115.63166666666666</v>
      </c>
      <c r="G19" s="250">
        <f t="shared" si="0"/>
        <v>95.69517241379309</v>
      </c>
    </row>
    <row r="20" spans="1:7" ht="30.75" customHeight="1" hidden="1">
      <c r="A20" s="254" t="s">
        <v>444</v>
      </c>
      <c r="B20" s="147" t="s">
        <v>1190</v>
      </c>
      <c r="C20" s="258"/>
      <c r="D20" s="258"/>
      <c r="E20" s="258"/>
      <c r="F20" s="249" t="e">
        <f aca="true" t="shared" si="2" ref="F20:F25">E20/C20*100</f>
        <v>#DIV/0!</v>
      </c>
      <c r="G20" s="250" t="e">
        <f aca="true" t="shared" si="3" ref="G20:G25">E20/D20*100</f>
        <v>#DIV/0!</v>
      </c>
    </row>
    <row r="21" spans="1:7" ht="33" customHeight="1">
      <c r="A21" s="513" t="s">
        <v>1396</v>
      </c>
      <c r="B21" s="511" t="s">
        <v>489</v>
      </c>
      <c r="C21" s="255">
        <f>C22</f>
        <v>92895</v>
      </c>
      <c r="D21" s="255">
        <f>D22</f>
        <v>67395</v>
      </c>
      <c r="E21" s="255">
        <f>E22</f>
        <v>68861.20000000001</v>
      </c>
      <c r="F21" s="249">
        <f t="shared" si="2"/>
        <v>74.12799397168848</v>
      </c>
      <c r="G21" s="250">
        <f t="shared" si="3"/>
        <v>102.17553230951853</v>
      </c>
    </row>
    <row r="22" spans="1:7" ht="30.75" customHeight="1">
      <c r="A22" s="514" t="s">
        <v>1397</v>
      </c>
      <c r="B22" s="512" t="s">
        <v>628</v>
      </c>
      <c r="C22" s="255">
        <f>C23+C24+C25+C26</f>
        <v>92895</v>
      </c>
      <c r="D22" s="255">
        <f>D23+D24+D25+D26</f>
        <v>67395</v>
      </c>
      <c r="E22" s="255">
        <f>E23+E24+E25+E26</f>
        <v>68861.20000000001</v>
      </c>
      <c r="F22" s="249">
        <f t="shared" si="2"/>
        <v>74.12799397168848</v>
      </c>
      <c r="G22" s="250">
        <f t="shared" si="3"/>
        <v>102.17553230951853</v>
      </c>
    </row>
    <row r="23" spans="1:7" ht="48">
      <c r="A23" s="515" t="s">
        <v>1398</v>
      </c>
      <c r="B23" s="149" t="s">
        <v>629</v>
      </c>
      <c r="C23" s="258">
        <v>30700</v>
      </c>
      <c r="D23" s="258">
        <v>24200</v>
      </c>
      <c r="E23" s="258">
        <v>25989.4</v>
      </c>
      <c r="F23" s="249">
        <f t="shared" si="2"/>
        <v>84.65602605863192</v>
      </c>
      <c r="G23" s="250">
        <f t="shared" si="3"/>
        <v>107.39421487603306</v>
      </c>
    </row>
    <row r="24" spans="1:7" ht="48">
      <c r="A24" s="516" t="s">
        <v>1399</v>
      </c>
      <c r="B24" s="149" t="s">
        <v>630</v>
      </c>
      <c r="C24" s="258">
        <v>900</v>
      </c>
      <c r="D24" s="258">
        <v>600</v>
      </c>
      <c r="E24" s="258">
        <v>585.4</v>
      </c>
      <c r="F24" s="249">
        <f t="shared" si="2"/>
        <v>65.04444444444444</v>
      </c>
      <c r="G24" s="250">
        <f t="shared" si="3"/>
        <v>97.56666666666666</v>
      </c>
    </row>
    <row r="25" spans="1:7" ht="48">
      <c r="A25" s="516" t="s">
        <v>1400</v>
      </c>
      <c r="B25" s="149" t="s">
        <v>631</v>
      </c>
      <c r="C25" s="258">
        <v>58645</v>
      </c>
      <c r="D25" s="258">
        <v>42595</v>
      </c>
      <c r="E25" s="258">
        <v>44522.8</v>
      </c>
      <c r="F25" s="249">
        <f t="shared" si="2"/>
        <v>75.91917469519993</v>
      </c>
      <c r="G25" s="250">
        <f t="shared" si="3"/>
        <v>104.52588331963845</v>
      </c>
    </row>
    <row r="26" spans="1:7" ht="48">
      <c r="A26" s="517" t="s">
        <v>1401</v>
      </c>
      <c r="B26" s="149" t="s">
        <v>1395</v>
      </c>
      <c r="C26" s="258">
        <v>2650</v>
      </c>
      <c r="D26" s="258">
        <v>0</v>
      </c>
      <c r="E26" s="258">
        <v>-2236.4</v>
      </c>
      <c r="F26" s="249"/>
      <c r="G26" s="250"/>
    </row>
    <row r="27" spans="1:7" ht="30" customHeight="1">
      <c r="A27" s="254" t="s">
        <v>623</v>
      </c>
      <c r="B27" s="147" t="s">
        <v>624</v>
      </c>
      <c r="C27" s="255">
        <f>C36+C39+C28+C42</f>
        <v>277640</v>
      </c>
      <c r="D27" s="255">
        <f>D36+D39+D28+D42</f>
        <v>287966.8</v>
      </c>
      <c r="E27" s="255">
        <f>E36+E39+E28+E42</f>
        <v>289753.60000000003</v>
      </c>
      <c r="F27" s="249">
        <f t="shared" si="1"/>
        <v>104.36306007779861</v>
      </c>
      <c r="G27" s="250">
        <f t="shared" si="0"/>
        <v>100.62048819516696</v>
      </c>
    </row>
    <row r="28" spans="1:7" ht="13.5">
      <c r="A28" s="254" t="s">
        <v>545</v>
      </c>
      <c r="B28" s="147" t="s">
        <v>116</v>
      </c>
      <c r="C28" s="255">
        <f>C29+C32+C35</f>
        <v>147355</v>
      </c>
      <c r="D28" s="255">
        <f>D29+D32+D35</f>
        <v>160865.1</v>
      </c>
      <c r="E28" s="255">
        <f>E29+E32+E35</f>
        <v>160269.4</v>
      </c>
      <c r="F28" s="249">
        <f t="shared" si="1"/>
        <v>108.76414101998574</v>
      </c>
      <c r="G28" s="250">
        <f t="shared" si="0"/>
        <v>99.62968972138766</v>
      </c>
    </row>
    <row r="29" spans="1:7" ht="24">
      <c r="A29" s="254" t="s">
        <v>117</v>
      </c>
      <c r="B29" s="147" t="s">
        <v>118</v>
      </c>
      <c r="C29" s="255">
        <f>SUM(C30:C31)</f>
        <v>117355</v>
      </c>
      <c r="D29" s="255">
        <f>SUM(D30:D31)</f>
        <v>126865.1</v>
      </c>
      <c r="E29" s="255">
        <f>SUM(E30:E31)</f>
        <v>126980.8</v>
      </c>
      <c r="F29" s="249">
        <f t="shared" si="1"/>
        <v>108.20229219036257</v>
      </c>
      <c r="G29" s="250">
        <f t="shared" si="0"/>
        <v>100.09119923446244</v>
      </c>
    </row>
    <row r="30" spans="1:7" ht="24">
      <c r="A30" s="254" t="s">
        <v>119</v>
      </c>
      <c r="B30" s="147" t="s">
        <v>118</v>
      </c>
      <c r="C30" s="258">
        <v>117355</v>
      </c>
      <c r="D30" s="258">
        <v>126865.1</v>
      </c>
      <c r="E30" s="258">
        <v>126775.3</v>
      </c>
      <c r="F30" s="249">
        <f t="shared" si="1"/>
        <v>108.02718248050786</v>
      </c>
      <c r="G30" s="250">
        <f t="shared" si="0"/>
        <v>99.92921615164454</v>
      </c>
    </row>
    <row r="31" spans="1:7" ht="24">
      <c r="A31" s="254" t="s">
        <v>120</v>
      </c>
      <c r="B31" s="147" t="s">
        <v>121</v>
      </c>
      <c r="C31" s="258">
        <v>0</v>
      </c>
      <c r="D31" s="258">
        <v>0</v>
      </c>
      <c r="E31" s="258">
        <v>205.5</v>
      </c>
      <c r="F31" s="249">
        <v>0</v>
      </c>
      <c r="G31" s="250"/>
    </row>
    <row r="32" spans="1:7" ht="24">
      <c r="A32" s="254" t="s">
        <v>122</v>
      </c>
      <c r="B32" s="147" t="s">
        <v>123</v>
      </c>
      <c r="C32" s="255">
        <f>SUM(C33:C34)</f>
        <v>20000</v>
      </c>
      <c r="D32" s="255">
        <f>SUM(D33:D34)</f>
        <v>26000</v>
      </c>
      <c r="E32" s="255">
        <f>SUM(E33:E34)</f>
        <v>25331.3</v>
      </c>
      <c r="F32" s="249">
        <f t="shared" si="1"/>
        <v>126.6565</v>
      </c>
      <c r="G32" s="250">
        <f t="shared" si="0"/>
        <v>97.42807692307693</v>
      </c>
    </row>
    <row r="33" spans="1:7" ht="35.25" customHeight="1">
      <c r="A33" s="254" t="s">
        <v>124</v>
      </c>
      <c r="B33" s="147" t="s">
        <v>123</v>
      </c>
      <c r="C33" s="258">
        <v>20000</v>
      </c>
      <c r="D33" s="258">
        <v>26000</v>
      </c>
      <c r="E33" s="258">
        <v>25793.1</v>
      </c>
      <c r="F33" s="249">
        <f t="shared" si="1"/>
        <v>128.9655</v>
      </c>
      <c r="G33" s="250">
        <f t="shared" si="0"/>
        <v>99.20423076923076</v>
      </c>
    </row>
    <row r="34" spans="1:7" ht="48" customHeight="1">
      <c r="A34" s="254" t="s">
        <v>125</v>
      </c>
      <c r="B34" s="147" t="s">
        <v>126</v>
      </c>
      <c r="C34" s="258">
        <v>0</v>
      </c>
      <c r="D34" s="258">
        <v>0</v>
      </c>
      <c r="E34" s="258">
        <v>-461.8</v>
      </c>
      <c r="F34" s="249"/>
      <c r="G34" s="250"/>
    </row>
    <row r="35" spans="1:7" ht="34.5" customHeight="1">
      <c r="A35" s="254" t="s">
        <v>127</v>
      </c>
      <c r="B35" s="147" t="s">
        <v>128</v>
      </c>
      <c r="C35" s="258">
        <v>10000</v>
      </c>
      <c r="D35" s="258">
        <v>8000</v>
      </c>
      <c r="E35" s="258">
        <v>7957.3</v>
      </c>
      <c r="F35" s="249"/>
      <c r="G35" s="250">
        <f t="shared" si="0"/>
        <v>99.46625</v>
      </c>
    </row>
    <row r="36" spans="1:7" ht="45" customHeight="1">
      <c r="A36" s="254" t="s">
        <v>129</v>
      </c>
      <c r="B36" s="252" t="s">
        <v>1285</v>
      </c>
      <c r="C36" s="255">
        <f>C37+C38</f>
        <v>125000</v>
      </c>
      <c r="D36" s="255">
        <f>D37+D38</f>
        <v>122000</v>
      </c>
      <c r="E36" s="255">
        <f>E37+E38</f>
        <v>123550.20000000001</v>
      </c>
      <c r="F36" s="249">
        <f t="shared" si="1"/>
        <v>98.84016000000001</v>
      </c>
      <c r="G36" s="250">
        <f t="shared" si="0"/>
        <v>101.27065573770493</v>
      </c>
    </row>
    <row r="37" spans="1:7" ht="27" customHeight="1">
      <c r="A37" s="254" t="s">
        <v>625</v>
      </c>
      <c r="B37" s="260" t="s">
        <v>1285</v>
      </c>
      <c r="C37" s="258">
        <v>125000</v>
      </c>
      <c r="D37" s="258">
        <v>122000</v>
      </c>
      <c r="E37" s="258">
        <v>123581.1</v>
      </c>
      <c r="F37" s="249">
        <f t="shared" si="1"/>
        <v>98.86488</v>
      </c>
      <c r="G37" s="250">
        <f t="shared" si="0"/>
        <v>101.29598360655739</v>
      </c>
    </row>
    <row r="38" spans="1:7" ht="37.5" customHeight="1">
      <c r="A38" s="254" t="s">
        <v>1286</v>
      </c>
      <c r="B38" s="260" t="s">
        <v>1287</v>
      </c>
      <c r="C38" s="258">
        <v>0</v>
      </c>
      <c r="D38" s="258">
        <v>0</v>
      </c>
      <c r="E38" s="258">
        <v>-30.9</v>
      </c>
      <c r="F38" s="249"/>
      <c r="G38" s="250"/>
    </row>
    <row r="39" spans="1:7" ht="36" customHeight="1">
      <c r="A39" s="254" t="s">
        <v>1288</v>
      </c>
      <c r="B39" s="252" t="s">
        <v>430</v>
      </c>
      <c r="C39" s="255">
        <f>C40</f>
        <v>785</v>
      </c>
      <c r="D39" s="255">
        <f>D40</f>
        <v>101.7</v>
      </c>
      <c r="E39" s="255">
        <f>E40</f>
        <v>101.6</v>
      </c>
      <c r="F39" s="249">
        <f t="shared" si="1"/>
        <v>12.942675159235668</v>
      </c>
      <c r="G39" s="250">
        <f t="shared" si="0"/>
        <v>99.9016715830875</v>
      </c>
    </row>
    <row r="40" spans="1:7" ht="13.5">
      <c r="A40" s="254" t="s">
        <v>1191</v>
      </c>
      <c r="B40" s="260" t="s">
        <v>430</v>
      </c>
      <c r="C40" s="258">
        <v>785</v>
      </c>
      <c r="D40" s="258">
        <v>101.7</v>
      </c>
      <c r="E40" s="258">
        <v>101.6</v>
      </c>
      <c r="F40" s="249">
        <f t="shared" si="1"/>
        <v>12.942675159235668</v>
      </c>
      <c r="G40" s="250">
        <f t="shared" si="0"/>
        <v>99.9016715830875</v>
      </c>
    </row>
    <row r="41" spans="1:7" ht="22.5">
      <c r="A41" s="254" t="s">
        <v>130</v>
      </c>
      <c r="B41" s="261" t="s">
        <v>760</v>
      </c>
      <c r="C41" s="255">
        <f>C42</f>
        <v>4500</v>
      </c>
      <c r="D41" s="255">
        <f>D42</f>
        <v>5000</v>
      </c>
      <c r="E41" s="255">
        <f>E42</f>
        <v>5832.4</v>
      </c>
      <c r="F41" s="249">
        <f t="shared" si="1"/>
        <v>129.60888888888888</v>
      </c>
      <c r="G41" s="250">
        <f t="shared" si="0"/>
        <v>116.648</v>
      </c>
    </row>
    <row r="42" spans="1:7" ht="26.25" customHeight="1">
      <c r="A42" s="254" t="s">
        <v>761</v>
      </c>
      <c r="B42" s="260" t="s">
        <v>762</v>
      </c>
      <c r="C42" s="258">
        <v>4500</v>
      </c>
      <c r="D42" s="258">
        <v>5000</v>
      </c>
      <c r="E42" s="258">
        <v>5832.4</v>
      </c>
      <c r="F42" s="249">
        <f t="shared" si="1"/>
        <v>129.60888888888888</v>
      </c>
      <c r="G42" s="250">
        <f t="shared" si="0"/>
        <v>116.648</v>
      </c>
    </row>
    <row r="43" spans="1:7" ht="29.25" customHeight="1">
      <c r="A43" s="262" t="s">
        <v>431</v>
      </c>
      <c r="B43" s="147" t="s">
        <v>432</v>
      </c>
      <c r="C43" s="255">
        <f>C44+C49+C46</f>
        <v>576719</v>
      </c>
      <c r="D43" s="255">
        <f>D44+D49+D46</f>
        <v>922798.4</v>
      </c>
      <c r="E43" s="255">
        <f>E44+E49+E46</f>
        <v>985118.9999999999</v>
      </c>
      <c r="F43" s="249">
        <f t="shared" si="1"/>
        <v>170.81438274098824</v>
      </c>
      <c r="G43" s="250">
        <f t="shared" si="0"/>
        <v>106.75343607011021</v>
      </c>
    </row>
    <row r="44" spans="1:7" ht="13.5">
      <c r="A44" s="254" t="s">
        <v>433</v>
      </c>
      <c r="B44" s="263" t="s">
        <v>434</v>
      </c>
      <c r="C44" s="255">
        <f>C45</f>
        <v>50000</v>
      </c>
      <c r="D44" s="255">
        <f>D45</f>
        <v>67000</v>
      </c>
      <c r="E44" s="255">
        <f>E45</f>
        <v>81532.6</v>
      </c>
      <c r="F44" s="249">
        <f t="shared" si="1"/>
        <v>163.06520000000003</v>
      </c>
      <c r="G44" s="250">
        <f t="shared" si="0"/>
        <v>121.69044776119404</v>
      </c>
    </row>
    <row r="45" spans="1:7" ht="24">
      <c r="A45" s="254" t="s">
        <v>435</v>
      </c>
      <c r="B45" s="147" t="s">
        <v>212</v>
      </c>
      <c r="C45" s="258">
        <v>50000</v>
      </c>
      <c r="D45" s="258">
        <v>67000</v>
      </c>
      <c r="E45" s="258">
        <v>81532.6</v>
      </c>
      <c r="F45" s="249">
        <f t="shared" si="1"/>
        <v>163.06520000000003</v>
      </c>
      <c r="G45" s="250">
        <f t="shared" si="0"/>
        <v>121.69044776119404</v>
      </c>
    </row>
    <row r="46" spans="1:7" ht="13.5" hidden="1">
      <c r="A46" s="254" t="s">
        <v>763</v>
      </c>
      <c r="B46" s="263" t="s">
        <v>764</v>
      </c>
      <c r="C46" s="255">
        <f>C47+C48</f>
        <v>0</v>
      </c>
      <c r="D46" s="255">
        <f>D47+D48</f>
        <v>0</v>
      </c>
      <c r="E46" s="255">
        <f>E47+E48</f>
        <v>0</v>
      </c>
      <c r="F46" s="249" t="e">
        <f t="shared" si="1"/>
        <v>#DIV/0!</v>
      </c>
      <c r="G46" s="250" t="e">
        <f t="shared" si="0"/>
        <v>#DIV/0!</v>
      </c>
    </row>
    <row r="47" spans="1:7" ht="24" hidden="1">
      <c r="A47" s="254" t="s">
        <v>763</v>
      </c>
      <c r="B47" s="147" t="s">
        <v>765</v>
      </c>
      <c r="C47" s="258"/>
      <c r="D47" s="258"/>
      <c r="E47" s="258"/>
      <c r="F47" s="249" t="e">
        <f t="shared" si="1"/>
        <v>#DIV/0!</v>
      </c>
      <c r="G47" s="250" t="e">
        <f t="shared" si="0"/>
        <v>#DIV/0!</v>
      </c>
    </row>
    <row r="48" spans="1:7" ht="24" hidden="1">
      <c r="A48" s="254" t="s">
        <v>766</v>
      </c>
      <c r="B48" s="147" t="s">
        <v>254</v>
      </c>
      <c r="C48" s="258"/>
      <c r="D48" s="258"/>
      <c r="E48" s="258"/>
      <c r="F48" s="249" t="e">
        <f t="shared" si="1"/>
        <v>#DIV/0!</v>
      </c>
      <c r="G48" s="250" t="e">
        <f t="shared" si="0"/>
        <v>#DIV/0!</v>
      </c>
    </row>
    <row r="49" spans="1:7" ht="27.75" customHeight="1">
      <c r="A49" s="254" t="s">
        <v>213</v>
      </c>
      <c r="B49" s="263" t="s">
        <v>214</v>
      </c>
      <c r="C49" s="255">
        <f>C50+C52</f>
        <v>526719</v>
      </c>
      <c r="D49" s="264">
        <f>D50+D52</f>
        <v>855798.4</v>
      </c>
      <c r="E49" s="255">
        <f>E50+E52</f>
        <v>903586.3999999999</v>
      </c>
      <c r="F49" s="249">
        <f t="shared" si="1"/>
        <v>171.5499915514724</v>
      </c>
      <c r="G49" s="250">
        <f t="shared" si="0"/>
        <v>105.58402539663545</v>
      </c>
    </row>
    <row r="50" spans="1:7" ht="24">
      <c r="A50" s="254" t="s">
        <v>215</v>
      </c>
      <c r="B50" s="147" t="s">
        <v>995</v>
      </c>
      <c r="C50" s="255">
        <f>C51</f>
        <v>136000</v>
      </c>
      <c r="D50" s="255">
        <f>D51</f>
        <v>129000</v>
      </c>
      <c r="E50" s="255">
        <f>E51</f>
        <v>149906.3</v>
      </c>
      <c r="F50" s="249">
        <f t="shared" si="1"/>
        <v>110.22522058823529</v>
      </c>
      <c r="G50" s="250">
        <f t="shared" si="0"/>
        <v>116.2064341085271</v>
      </c>
    </row>
    <row r="51" spans="1:7" ht="36">
      <c r="A51" s="254" t="s">
        <v>996</v>
      </c>
      <c r="B51" s="147" t="s">
        <v>1182</v>
      </c>
      <c r="C51" s="258">
        <v>136000</v>
      </c>
      <c r="D51" s="258">
        <v>129000</v>
      </c>
      <c r="E51" s="258">
        <v>149906.3</v>
      </c>
      <c r="F51" s="249">
        <f t="shared" si="1"/>
        <v>110.22522058823529</v>
      </c>
      <c r="G51" s="250">
        <f t="shared" si="0"/>
        <v>116.2064341085271</v>
      </c>
    </row>
    <row r="52" spans="1:7" ht="24">
      <c r="A52" s="254" t="s">
        <v>1140</v>
      </c>
      <c r="B52" s="147" t="s">
        <v>1141</v>
      </c>
      <c r="C52" s="255">
        <f>C53</f>
        <v>390719</v>
      </c>
      <c r="D52" s="255">
        <f>D53</f>
        <v>726798.4</v>
      </c>
      <c r="E52" s="255">
        <f>E53</f>
        <v>753680.1</v>
      </c>
      <c r="F52" s="249">
        <f t="shared" si="1"/>
        <v>192.89568718183656</v>
      </c>
      <c r="G52" s="250">
        <f t="shared" si="0"/>
        <v>103.69864600692571</v>
      </c>
    </row>
    <row r="53" spans="1:7" ht="36">
      <c r="A53" s="254" t="s">
        <v>1142</v>
      </c>
      <c r="B53" s="147" t="s">
        <v>1143</v>
      </c>
      <c r="C53" s="258">
        <v>390719</v>
      </c>
      <c r="D53" s="258">
        <v>726798.4</v>
      </c>
      <c r="E53" s="258">
        <v>753680.1</v>
      </c>
      <c r="F53" s="249">
        <f t="shared" si="1"/>
        <v>192.89568718183656</v>
      </c>
      <c r="G53" s="250">
        <f t="shared" si="0"/>
        <v>103.69864600692571</v>
      </c>
    </row>
    <row r="54" spans="1:7" ht="13.5">
      <c r="A54" s="254" t="s">
        <v>1144</v>
      </c>
      <c r="B54" s="147" t="s">
        <v>626</v>
      </c>
      <c r="C54" s="255">
        <f>C55+C57+C58</f>
        <v>19110</v>
      </c>
      <c r="D54" s="255">
        <f>D55+D57+D58</f>
        <v>22910</v>
      </c>
      <c r="E54" s="255">
        <f>E55+E57+E58</f>
        <v>24598.9</v>
      </c>
      <c r="F54" s="249">
        <f t="shared" si="1"/>
        <v>128.72265829408687</v>
      </c>
      <c r="G54" s="250">
        <f t="shared" si="0"/>
        <v>107.37189000436491</v>
      </c>
    </row>
    <row r="55" spans="1:7" ht="24">
      <c r="A55" s="254" t="s">
        <v>627</v>
      </c>
      <c r="B55" s="147" t="s">
        <v>367</v>
      </c>
      <c r="C55" s="255">
        <f>C56</f>
        <v>18500</v>
      </c>
      <c r="D55" s="255">
        <f>D56</f>
        <v>21970</v>
      </c>
      <c r="E55" s="255">
        <f>E56</f>
        <v>23455.9</v>
      </c>
      <c r="F55" s="249">
        <f t="shared" si="1"/>
        <v>126.78864864864865</v>
      </c>
      <c r="G55" s="250">
        <f t="shared" si="0"/>
        <v>106.76331360946747</v>
      </c>
    </row>
    <row r="56" spans="1:7" ht="24">
      <c r="A56" s="254" t="s">
        <v>368</v>
      </c>
      <c r="B56" s="147" t="s">
        <v>369</v>
      </c>
      <c r="C56" s="258">
        <v>18500</v>
      </c>
      <c r="D56" s="258">
        <v>21970</v>
      </c>
      <c r="E56" s="258">
        <v>23455.9</v>
      </c>
      <c r="F56" s="249">
        <f t="shared" si="1"/>
        <v>126.78864864864865</v>
      </c>
      <c r="G56" s="250">
        <f t="shared" si="0"/>
        <v>106.76331360946747</v>
      </c>
    </row>
    <row r="57" spans="1:7" ht="24" hidden="1">
      <c r="A57" s="254" t="s">
        <v>255</v>
      </c>
      <c r="B57" s="147" t="s">
        <v>256</v>
      </c>
      <c r="C57" s="258">
        <v>0</v>
      </c>
      <c r="D57" s="248">
        <v>0</v>
      </c>
      <c r="E57" s="265"/>
      <c r="F57" s="249"/>
      <c r="G57" s="250"/>
    </row>
    <row r="58" spans="1:7" ht="37.5" customHeight="1">
      <c r="A58" s="254" t="s">
        <v>370</v>
      </c>
      <c r="B58" s="147" t="s">
        <v>371</v>
      </c>
      <c r="C58" s="255">
        <f>C59+C60+C61</f>
        <v>610</v>
      </c>
      <c r="D58" s="255">
        <f>D59+D60+D61</f>
        <v>940</v>
      </c>
      <c r="E58" s="255">
        <f>E59+E60+E61</f>
        <v>1143</v>
      </c>
      <c r="F58" s="249">
        <f t="shared" si="1"/>
        <v>187.37704918032787</v>
      </c>
      <c r="G58" s="250">
        <f t="shared" si="0"/>
        <v>121.59574468085106</v>
      </c>
    </row>
    <row r="59" spans="1:7" ht="46.5" customHeight="1" hidden="1">
      <c r="A59" s="254" t="s">
        <v>257</v>
      </c>
      <c r="B59" s="147" t="s">
        <v>258</v>
      </c>
      <c r="C59" s="258">
        <v>0</v>
      </c>
      <c r="D59" s="258">
        <v>0</v>
      </c>
      <c r="E59" s="266">
        <v>0</v>
      </c>
      <c r="F59" s="249" t="e">
        <f t="shared" si="1"/>
        <v>#DIV/0!</v>
      </c>
      <c r="G59" s="250" t="e">
        <f t="shared" si="0"/>
        <v>#DIV/0!</v>
      </c>
    </row>
    <row r="60" spans="1:7" ht="24">
      <c r="A60" s="254" t="s">
        <v>372</v>
      </c>
      <c r="B60" s="147" t="s">
        <v>373</v>
      </c>
      <c r="C60" s="258">
        <v>610</v>
      </c>
      <c r="D60" s="258">
        <v>940</v>
      </c>
      <c r="E60" s="258">
        <v>1143</v>
      </c>
      <c r="F60" s="249">
        <f t="shared" si="1"/>
        <v>187.37704918032787</v>
      </c>
      <c r="G60" s="250">
        <f t="shared" si="0"/>
        <v>121.59574468085106</v>
      </c>
    </row>
    <row r="61" spans="1:7" ht="31.5" customHeight="1" hidden="1">
      <c r="A61" s="254" t="s">
        <v>259</v>
      </c>
      <c r="B61" s="147" t="s">
        <v>297</v>
      </c>
      <c r="C61" s="258">
        <v>0</v>
      </c>
      <c r="D61" s="267">
        <v>0</v>
      </c>
      <c r="E61" s="268"/>
      <c r="F61" s="249"/>
      <c r="G61" s="250"/>
    </row>
    <row r="62" spans="1:7" ht="29.25" customHeight="1">
      <c r="A62" s="254" t="s">
        <v>374</v>
      </c>
      <c r="B62" s="147" t="s">
        <v>375</v>
      </c>
      <c r="C62" s="264">
        <f>C63+C68+C70+C65</f>
        <v>0</v>
      </c>
      <c r="D62" s="264">
        <f>D63+D68+D70+D65</f>
        <v>0</v>
      </c>
      <c r="E62" s="264">
        <v>-632.9</v>
      </c>
      <c r="F62" s="249"/>
      <c r="G62" s="250"/>
    </row>
    <row r="63" spans="1:7" ht="24">
      <c r="A63" s="254" t="s">
        <v>376</v>
      </c>
      <c r="B63" s="269" t="s">
        <v>377</v>
      </c>
      <c r="C63" s="255">
        <f>SUM(C64)</f>
        <v>0</v>
      </c>
      <c r="D63" s="255">
        <f>SUM(D64)</f>
        <v>0</v>
      </c>
      <c r="E63" s="255">
        <f>SUM(E64)</f>
        <v>1.1</v>
      </c>
      <c r="F63" s="249"/>
      <c r="G63" s="250"/>
    </row>
    <row r="64" spans="1:7" ht="24">
      <c r="A64" s="254" t="s">
        <v>378</v>
      </c>
      <c r="B64" s="269" t="s">
        <v>379</v>
      </c>
      <c r="C64" s="258">
        <v>0</v>
      </c>
      <c r="D64" s="258">
        <v>0</v>
      </c>
      <c r="E64" s="258">
        <v>1.1</v>
      </c>
      <c r="F64" s="249"/>
      <c r="G64" s="250"/>
    </row>
    <row r="65" spans="1:7" ht="13.5">
      <c r="A65" s="254" t="s">
        <v>380</v>
      </c>
      <c r="B65" s="269" t="s">
        <v>381</v>
      </c>
      <c r="C65" s="255">
        <f aca="true" t="shared" si="4" ref="C65:E66">SUM(C66)</f>
        <v>0</v>
      </c>
      <c r="D65" s="255">
        <f t="shared" si="4"/>
        <v>0</v>
      </c>
      <c r="E65" s="255">
        <f t="shared" si="4"/>
        <v>-637.4</v>
      </c>
      <c r="F65" s="249"/>
      <c r="G65" s="250"/>
    </row>
    <row r="66" spans="1:7" ht="25.5" customHeight="1">
      <c r="A66" s="254" t="s">
        <v>382</v>
      </c>
      <c r="B66" s="269" t="s">
        <v>383</v>
      </c>
      <c r="C66" s="255">
        <f t="shared" si="4"/>
        <v>0</v>
      </c>
      <c r="D66" s="255">
        <f t="shared" si="4"/>
        <v>0</v>
      </c>
      <c r="E66" s="255">
        <f t="shared" si="4"/>
        <v>-637.4</v>
      </c>
      <c r="F66" s="249"/>
      <c r="G66" s="250"/>
    </row>
    <row r="67" spans="1:7" ht="24">
      <c r="A67" s="254" t="s">
        <v>1192</v>
      </c>
      <c r="B67" s="269" t="s">
        <v>1016</v>
      </c>
      <c r="C67" s="258">
        <v>0</v>
      </c>
      <c r="D67" s="258">
        <v>0</v>
      </c>
      <c r="E67" s="266">
        <v>-637.4</v>
      </c>
      <c r="F67" s="249"/>
      <c r="G67" s="250"/>
    </row>
    <row r="68" spans="1:7" ht="13.5">
      <c r="A68" s="254" t="s">
        <v>1017</v>
      </c>
      <c r="B68" s="147" t="s">
        <v>1018</v>
      </c>
      <c r="C68" s="255">
        <f>SUM(C69)</f>
        <v>0</v>
      </c>
      <c r="D68" s="255">
        <f>SUM(D69)</f>
        <v>0</v>
      </c>
      <c r="E68" s="255">
        <f>SUM(E69)</f>
        <v>3.4</v>
      </c>
      <c r="F68" s="249"/>
      <c r="G68" s="250"/>
    </row>
    <row r="69" spans="1:7" ht="13.5">
      <c r="A69" s="254" t="s">
        <v>1019</v>
      </c>
      <c r="B69" s="147" t="s">
        <v>1020</v>
      </c>
      <c r="C69" s="258">
        <v>0</v>
      </c>
      <c r="D69" s="267">
        <v>0</v>
      </c>
      <c r="E69" s="258">
        <v>3.4</v>
      </c>
      <c r="F69" s="249"/>
      <c r="G69" s="250"/>
    </row>
    <row r="70" spans="1:7" ht="15" customHeight="1" hidden="1">
      <c r="A70" s="262" t="s">
        <v>1021</v>
      </c>
      <c r="B70" s="147" t="s">
        <v>387</v>
      </c>
      <c r="C70" s="255">
        <f>SUM(C71+C73+C75)</f>
        <v>0</v>
      </c>
      <c r="D70" s="255">
        <f>SUM(D71+D73+D75)</f>
        <v>0</v>
      </c>
      <c r="E70" s="255">
        <f>SUM(E71+E73+E75)</f>
        <v>0</v>
      </c>
      <c r="F70" s="249"/>
      <c r="G70" s="250"/>
    </row>
    <row r="71" spans="1:7" ht="15" customHeight="1" hidden="1">
      <c r="A71" s="262" t="s">
        <v>388</v>
      </c>
      <c r="B71" s="269" t="s">
        <v>389</v>
      </c>
      <c r="C71" s="255">
        <f>SUM(C72)</f>
        <v>0</v>
      </c>
      <c r="D71" s="255">
        <f>SUM(D72)</f>
        <v>0</v>
      </c>
      <c r="E71" s="255">
        <f>SUM(E72)</f>
        <v>0</v>
      </c>
      <c r="F71" s="249"/>
      <c r="G71" s="250"/>
    </row>
    <row r="72" spans="1:7" ht="51.75" customHeight="1" hidden="1">
      <c r="A72" s="262" t="s">
        <v>1193</v>
      </c>
      <c r="B72" s="269" t="s">
        <v>390</v>
      </c>
      <c r="C72" s="258">
        <v>0</v>
      </c>
      <c r="D72" s="267">
        <v>0</v>
      </c>
      <c r="E72" s="266">
        <v>0</v>
      </c>
      <c r="F72" s="249"/>
      <c r="G72" s="250"/>
    </row>
    <row r="73" spans="1:7" ht="24" hidden="1">
      <c r="A73" s="262" t="s">
        <v>391</v>
      </c>
      <c r="B73" s="269" t="s">
        <v>812</v>
      </c>
      <c r="C73" s="255">
        <f>SUM(C74)</f>
        <v>0</v>
      </c>
      <c r="D73" s="255">
        <f>SUM(D74)</f>
        <v>0</v>
      </c>
      <c r="E73" s="255">
        <f>SUM(E74)</f>
        <v>0</v>
      </c>
      <c r="F73" s="249"/>
      <c r="G73" s="250"/>
    </row>
    <row r="74" spans="1:7" ht="51" customHeight="1" hidden="1">
      <c r="A74" s="262" t="s">
        <v>1194</v>
      </c>
      <c r="B74" s="269" t="s">
        <v>813</v>
      </c>
      <c r="C74" s="258">
        <v>0</v>
      </c>
      <c r="D74" s="267">
        <v>0</v>
      </c>
      <c r="E74" s="258">
        <v>0</v>
      </c>
      <c r="F74" s="249"/>
      <c r="G74" s="250"/>
    </row>
    <row r="75" spans="1:7" ht="13.5" hidden="1">
      <c r="A75" s="262" t="s">
        <v>814</v>
      </c>
      <c r="B75" s="269" t="s">
        <v>815</v>
      </c>
      <c r="C75" s="255">
        <f>SUM(C76)</f>
        <v>0</v>
      </c>
      <c r="D75" s="255">
        <f>SUM(D76)</f>
        <v>0</v>
      </c>
      <c r="E75" s="255">
        <f>SUM(E76)</f>
        <v>0</v>
      </c>
      <c r="F75" s="249"/>
      <c r="G75" s="250"/>
    </row>
    <row r="76" spans="1:7" ht="13.5" hidden="1">
      <c r="A76" s="262" t="s">
        <v>1195</v>
      </c>
      <c r="B76" s="269" t="s">
        <v>816</v>
      </c>
      <c r="C76" s="258">
        <v>0</v>
      </c>
      <c r="D76" s="258">
        <v>0</v>
      </c>
      <c r="E76" s="248">
        <v>0</v>
      </c>
      <c r="F76" s="249"/>
      <c r="G76" s="250"/>
    </row>
    <row r="77" spans="1:7" ht="24">
      <c r="A77" s="262" t="s">
        <v>817</v>
      </c>
      <c r="B77" s="269" t="s">
        <v>818</v>
      </c>
      <c r="C77" s="255">
        <f>SUM(C78+C80+C82+C89+C92)</f>
        <v>498371.9</v>
      </c>
      <c r="D77" s="255">
        <f>SUM(D78+D80+D82+D89+D92)</f>
        <v>591809.5</v>
      </c>
      <c r="E77" s="255">
        <f>SUM(E78+E80+E82+E89+E92)</f>
        <v>639196.4</v>
      </c>
      <c r="F77" s="249">
        <f t="shared" si="1"/>
        <v>128.25691015083314</v>
      </c>
      <c r="G77" s="250">
        <f t="shared" si="0"/>
        <v>108.00712053456391</v>
      </c>
    </row>
    <row r="78" spans="1:7" ht="36">
      <c r="A78" s="262" t="s">
        <v>819</v>
      </c>
      <c r="B78" s="269" t="s">
        <v>393</v>
      </c>
      <c r="C78" s="255">
        <f>SUM(C79)</f>
        <v>1546.9</v>
      </c>
      <c r="D78" s="255">
        <f>SUM(D79)</f>
        <v>1637.9</v>
      </c>
      <c r="E78" s="255">
        <f>SUM(E79)</f>
        <v>1637.9</v>
      </c>
      <c r="F78" s="249">
        <f t="shared" si="1"/>
        <v>105.88273320835219</v>
      </c>
      <c r="G78" s="250">
        <f t="shared" si="0"/>
        <v>100</v>
      </c>
    </row>
    <row r="79" spans="1:7" ht="36">
      <c r="A79" s="262" t="s">
        <v>820</v>
      </c>
      <c r="B79" s="269" t="s">
        <v>394</v>
      </c>
      <c r="C79" s="258">
        <v>1546.9</v>
      </c>
      <c r="D79" s="258">
        <v>1637.9</v>
      </c>
      <c r="E79" s="248">
        <v>1637.9</v>
      </c>
      <c r="F79" s="249">
        <f t="shared" si="1"/>
        <v>105.88273320835219</v>
      </c>
      <c r="G79" s="250">
        <f t="shared" si="0"/>
        <v>100</v>
      </c>
    </row>
    <row r="80" spans="1:7" ht="13.5" hidden="1">
      <c r="A80" s="262" t="s">
        <v>821</v>
      </c>
      <c r="B80" s="269" t="s">
        <v>1196</v>
      </c>
      <c r="C80" s="255">
        <f>SUM(C81)</f>
        <v>0</v>
      </c>
      <c r="D80" s="255">
        <f>SUM(D81)</f>
        <v>0</v>
      </c>
      <c r="E80" s="255">
        <f>SUM(E81)</f>
        <v>0</v>
      </c>
      <c r="F80" s="249" t="e">
        <f t="shared" si="1"/>
        <v>#DIV/0!</v>
      </c>
      <c r="G80" s="250" t="e">
        <f t="shared" si="0"/>
        <v>#DIV/0!</v>
      </c>
    </row>
    <row r="81" spans="1:7" ht="24" hidden="1">
      <c r="A81" s="262" t="s">
        <v>1197</v>
      </c>
      <c r="B81" s="269" t="s">
        <v>1198</v>
      </c>
      <c r="C81" s="258"/>
      <c r="D81" s="258"/>
      <c r="E81" s="248"/>
      <c r="F81" s="249" t="e">
        <f t="shared" si="1"/>
        <v>#DIV/0!</v>
      </c>
      <c r="G81" s="250" t="e">
        <f t="shared" si="0"/>
        <v>#DIV/0!</v>
      </c>
    </row>
    <row r="82" spans="1:7" ht="48">
      <c r="A82" s="262" t="s">
        <v>1199</v>
      </c>
      <c r="B82" s="269" t="s">
        <v>1200</v>
      </c>
      <c r="C82" s="264">
        <f>C83+C87</f>
        <v>488734</v>
      </c>
      <c r="D82" s="264">
        <f>D83+D87</f>
        <v>565946.6</v>
      </c>
      <c r="E82" s="264">
        <f>E83+E87</f>
        <v>606013.4</v>
      </c>
      <c r="F82" s="249">
        <f t="shared" si="1"/>
        <v>123.99657073172727</v>
      </c>
      <c r="G82" s="250">
        <f aca="true" t="shared" si="5" ref="G82:G144">E82/D82*100</f>
        <v>107.07960786406349</v>
      </c>
    </row>
    <row r="83" spans="1:7" ht="36">
      <c r="A83" s="270" t="s">
        <v>1201</v>
      </c>
      <c r="B83" s="147" t="s">
        <v>1202</v>
      </c>
      <c r="C83" s="255">
        <f>C84</f>
        <v>343870</v>
      </c>
      <c r="D83" s="255">
        <f>D84</f>
        <v>405082.6</v>
      </c>
      <c r="E83" s="255">
        <f>E84</f>
        <v>443942.2</v>
      </c>
      <c r="F83" s="249">
        <f aca="true" t="shared" si="6" ref="F83:F140">E83/C83*100</f>
        <v>129.10175356966295</v>
      </c>
      <c r="G83" s="250">
        <f t="shared" si="5"/>
        <v>109.59300646337316</v>
      </c>
    </row>
    <row r="84" spans="1:7" ht="48">
      <c r="A84" s="270" t="s">
        <v>395</v>
      </c>
      <c r="B84" s="147" t="s">
        <v>1203</v>
      </c>
      <c r="C84" s="258">
        <v>343870</v>
      </c>
      <c r="D84" s="258">
        <v>405082.6</v>
      </c>
      <c r="E84" s="258">
        <v>443942.2</v>
      </c>
      <c r="F84" s="249">
        <f t="shared" si="6"/>
        <v>129.10175356966295</v>
      </c>
      <c r="G84" s="250">
        <f t="shared" si="5"/>
        <v>109.59300646337316</v>
      </c>
    </row>
    <row r="85" spans="1:7" ht="38.25" customHeight="1" hidden="1">
      <c r="A85" s="254" t="s">
        <v>1204</v>
      </c>
      <c r="B85" s="271" t="s">
        <v>1205</v>
      </c>
      <c r="C85" s="255">
        <f>C86</f>
        <v>0</v>
      </c>
      <c r="D85" s="255">
        <f>D86</f>
        <v>0</v>
      </c>
      <c r="E85" s="255">
        <f>E86</f>
        <v>0</v>
      </c>
      <c r="F85" s="249" t="e">
        <f t="shared" si="6"/>
        <v>#DIV/0!</v>
      </c>
      <c r="G85" s="250" t="e">
        <f t="shared" si="5"/>
        <v>#DIV/0!</v>
      </c>
    </row>
    <row r="86" spans="1:7" ht="51" customHeight="1" hidden="1">
      <c r="A86" s="254" t="s">
        <v>1206</v>
      </c>
      <c r="B86" s="147" t="s">
        <v>1356</v>
      </c>
      <c r="C86" s="258">
        <v>0</v>
      </c>
      <c r="D86" s="267">
        <v>0</v>
      </c>
      <c r="E86" s="272"/>
      <c r="F86" s="249" t="e">
        <f t="shared" si="6"/>
        <v>#DIV/0!</v>
      </c>
      <c r="G86" s="250" t="e">
        <f t="shared" si="5"/>
        <v>#DIV/0!</v>
      </c>
    </row>
    <row r="87" spans="1:7" ht="51" customHeight="1">
      <c r="A87" s="254" t="s">
        <v>1357</v>
      </c>
      <c r="B87" s="147" t="s">
        <v>1358</v>
      </c>
      <c r="C87" s="255">
        <f>C88</f>
        <v>144864</v>
      </c>
      <c r="D87" s="255">
        <f>D88</f>
        <v>160864</v>
      </c>
      <c r="E87" s="255">
        <f>E88</f>
        <v>162071.2</v>
      </c>
      <c r="F87" s="249">
        <f t="shared" si="6"/>
        <v>111.8781753920919</v>
      </c>
      <c r="G87" s="250">
        <f t="shared" si="5"/>
        <v>100.75044758305154</v>
      </c>
    </row>
    <row r="88" spans="1:7" ht="36">
      <c r="A88" s="254" t="s">
        <v>1359</v>
      </c>
      <c r="B88" s="147" t="s">
        <v>420</v>
      </c>
      <c r="C88" s="258">
        <v>144864</v>
      </c>
      <c r="D88" s="258">
        <v>160864</v>
      </c>
      <c r="E88" s="258">
        <v>162071.2</v>
      </c>
      <c r="F88" s="249">
        <f t="shared" si="6"/>
        <v>111.8781753920919</v>
      </c>
      <c r="G88" s="250">
        <f t="shared" si="5"/>
        <v>100.75044758305154</v>
      </c>
    </row>
    <row r="89" spans="1:7" ht="29.25" customHeight="1">
      <c r="A89" s="254" t="s">
        <v>421</v>
      </c>
      <c r="B89" s="147" t="s">
        <v>422</v>
      </c>
      <c r="C89" s="255">
        <f aca="true" t="shared" si="7" ref="C89:E90">C90</f>
        <v>475</v>
      </c>
      <c r="D89" s="255">
        <f t="shared" si="7"/>
        <v>225</v>
      </c>
      <c r="E89" s="255">
        <f t="shared" si="7"/>
        <v>204.6</v>
      </c>
      <c r="F89" s="249">
        <f t="shared" si="6"/>
        <v>43.07368421052632</v>
      </c>
      <c r="G89" s="250">
        <f t="shared" si="5"/>
        <v>90.93333333333334</v>
      </c>
    </row>
    <row r="90" spans="1:7" ht="31.5" customHeight="1">
      <c r="A90" s="254" t="s">
        <v>423</v>
      </c>
      <c r="B90" s="147" t="s">
        <v>424</v>
      </c>
      <c r="C90" s="258">
        <f>C91</f>
        <v>475</v>
      </c>
      <c r="D90" s="258">
        <f>D91</f>
        <v>225</v>
      </c>
      <c r="E90" s="258">
        <f t="shared" si="7"/>
        <v>204.6</v>
      </c>
      <c r="F90" s="249">
        <f t="shared" si="6"/>
        <v>43.07368421052632</v>
      </c>
      <c r="G90" s="250">
        <f t="shared" si="5"/>
        <v>90.93333333333334</v>
      </c>
    </row>
    <row r="91" spans="1:7" ht="36">
      <c r="A91" s="254" t="s">
        <v>997</v>
      </c>
      <c r="B91" s="147" t="s">
        <v>405</v>
      </c>
      <c r="C91" s="258">
        <v>475</v>
      </c>
      <c r="D91" s="258">
        <v>225</v>
      </c>
      <c r="E91" s="258">
        <v>204.6</v>
      </c>
      <c r="F91" s="249">
        <f t="shared" si="6"/>
        <v>43.07368421052632</v>
      </c>
      <c r="G91" s="250">
        <f t="shared" si="5"/>
        <v>90.93333333333334</v>
      </c>
    </row>
    <row r="92" spans="1:7" ht="48">
      <c r="A92" s="254" t="s">
        <v>406</v>
      </c>
      <c r="B92" s="150" t="s">
        <v>637</v>
      </c>
      <c r="C92" s="255">
        <f>C93</f>
        <v>7616</v>
      </c>
      <c r="D92" s="255">
        <f>D93</f>
        <v>24000</v>
      </c>
      <c r="E92" s="255">
        <f>E93</f>
        <v>31340.5</v>
      </c>
      <c r="F92" s="249">
        <f t="shared" si="6"/>
        <v>411.50866596638656</v>
      </c>
      <c r="G92" s="250">
        <f t="shared" si="5"/>
        <v>130.58541666666667</v>
      </c>
    </row>
    <row r="93" spans="1:7" ht="48">
      <c r="A93" s="254" t="s">
        <v>638</v>
      </c>
      <c r="B93" s="273" t="s">
        <v>209</v>
      </c>
      <c r="C93" s="255">
        <f>SUM(C94)</f>
        <v>7616</v>
      </c>
      <c r="D93" s="255">
        <f>SUM(D94)</f>
        <v>24000</v>
      </c>
      <c r="E93" s="255">
        <f>SUM(E94)</f>
        <v>31340.5</v>
      </c>
      <c r="F93" s="249">
        <f t="shared" si="6"/>
        <v>411.50866596638656</v>
      </c>
      <c r="G93" s="250">
        <f t="shared" si="5"/>
        <v>130.58541666666667</v>
      </c>
    </row>
    <row r="94" spans="1:7" ht="48">
      <c r="A94" s="254" t="s">
        <v>210</v>
      </c>
      <c r="B94" s="269" t="s">
        <v>1090</v>
      </c>
      <c r="C94" s="258">
        <v>7616</v>
      </c>
      <c r="D94" s="258">
        <v>24000</v>
      </c>
      <c r="E94" s="258">
        <v>31340.5</v>
      </c>
      <c r="F94" s="249">
        <f t="shared" si="6"/>
        <v>411.50866596638656</v>
      </c>
      <c r="G94" s="250">
        <f t="shared" si="5"/>
        <v>130.58541666666667</v>
      </c>
    </row>
    <row r="95" spans="1:7" ht="13.5">
      <c r="A95" s="254" t="s">
        <v>1091</v>
      </c>
      <c r="B95" s="271" t="s">
        <v>1092</v>
      </c>
      <c r="C95" s="255">
        <f>SUM(C96)</f>
        <v>5036</v>
      </c>
      <c r="D95" s="255">
        <f>SUM(D96)</f>
        <v>5036</v>
      </c>
      <c r="E95" s="255">
        <f>SUM(E96)</f>
        <v>5201</v>
      </c>
      <c r="F95" s="249">
        <f t="shared" si="6"/>
        <v>103.27640984908658</v>
      </c>
      <c r="G95" s="250">
        <f t="shared" si="5"/>
        <v>103.27640984908658</v>
      </c>
    </row>
    <row r="96" spans="1:7" ht="13.5">
      <c r="A96" s="254" t="s">
        <v>1093</v>
      </c>
      <c r="B96" s="147" t="s">
        <v>1094</v>
      </c>
      <c r="C96" s="258">
        <f>C97+C98+C99+C100</f>
        <v>5036</v>
      </c>
      <c r="D96" s="258">
        <f>D97+D98+D99+D100</f>
        <v>5036</v>
      </c>
      <c r="E96" s="258">
        <v>5201</v>
      </c>
      <c r="F96" s="249">
        <f t="shared" si="6"/>
        <v>103.27640984908658</v>
      </c>
      <c r="G96" s="250">
        <f t="shared" si="5"/>
        <v>103.27640984908658</v>
      </c>
    </row>
    <row r="97" spans="1:7" ht="24">
      <c r="A97" s="254" t="s">
        <v>396</v>
      </c>
      <c r="B97" s="147" t="s">
        <v>397</v>
      </c>
      <c r="C97" s="258">
        <v>600</v>
      </c>
      <c r="D97" s="258">
        <v>500</v>
      </c>
      <c r="E97" s="258">
        <v>495</v>
      </c>
      <c r="F97" s="249">
        <f t="shared" si="6"/>
        <v>82.5</v>
      </c>
      <c r="G97" s="250">
        <f t="shared" si="5"/>
        <v>99</v>
      </c>
    </row>
    <row r="98" spans="1:7" ht="24">
      <c r="A98" s="254" t="s">
        <v>398</v>
      </c>
      <c r="B98" s="147" t="s">
        <v>737</v>
      </c>
      <c r="C98" s="258">
        <v>250</v>
      </c>
      <c r="D98" s="258">
        <v>370</v>
      </c>
      <c r="E98" s="258">
        <v>374</v>
      </c>
      <c r="F98" s="249">
        <f t="shared" si="6"/>
        <v>149.6</v>
      </c>
      <c r="G98" s="250">
        <f t="shared" si="5"/>
        <v>101.08108108108107</v>
      </c>
    </row>
    <row r="99" spans="1:7" ht="13.5">
      <c r="A99" s="254" t="s">
        <v>738</v>
      </c>
      <c r="B99" s="147" t="s">
        <v>739</v>
      </c>
      <c r="C99" s="258">
        <v>1186</v>
      </c>
      <c r="D99" s="258">
        <v>1336</v>
      </c>
      <c r="E99" s="258">
        <v>1407.1</v>
      </c>
      <c r="F99" s="249">
        <f t="shared" si="6"/>
        <v>118.64249578414838</v>
      </c>
      <c r="G99" s="250">
        <f t="shared" si="5"/>
        <v>105.32185628742513</v>
      </c>
    </row>
    <row r="100" spans="1:7" ht="13.5">
      <c r="A100" s="254" t="s">
        <v>740</v>
      </c>
      <c r="B100" s="147" t="s">
        <v>741</v>
      </c>
      <c r="C100" s="258">
        <v>3000</v>
      </c>
      <c r="D100" s="258">
        <v>2830</v>
      </c>
      <c r="E100" s="258">
        <v>2924.9</v>
      </c>
      <c r="F100" s="249">
        <f t="shared" si="6"/>
        <v>97.49666666666667</v>
      </c>
      <c r="G100" s="250">
        <f t="shared" si="5"/>
        <v>103.35335689045937</v>
      </c>
    </row>
    <row r="101" spans="1:7" ht="31.5" customHeight="1">
      <c r="A101" s="274" t="s">
        <v>1095</v>
      </c>
      <c r="B101" s="147" t="s">
        <v>1467</v>
      </c>
      <c r="C101" s="255">
        <f>C107+C109</f>
        <v>552</v>
      </c>
      <c r="D101" s="255">
        <f>D107+D109</f>
        <v>5659.9</v>
      </c>
      <c r="E101" s="255">
        <f>E107+E109</f>
        <v>5808.3</v>
      </c>
      <c r="F101" s="249">
        <f t="shared" si="6"/>
        <v>1052.2282608695652</v>
      </c>
      <c r="G101" s="250">
        <f t="shared" si="5"/>
        <v>102.62195445149209</v>
      </c>
    </row>
    <row r="102" spans="1:7" ht="13.5" hidden="1">
      <c r="A102" s="274" t="s">
        <v>1468</v>
      </c>
      <c r="B102" s="147" t="s">
        <v>1469</v>
      </c>
      <c r="C102" s="255">
        <f>C103+C105</f>
        <v>0</v>
      </c>
      <c r="D102" s="255">
        <f>D103+D105</f>
        <v>0</v>
      </c>
      <c r="E102" s="255">
        <f>E103+E105</f>
        <v>0</v>
      </c>
      <c r="F102" s="249" t="e">
        <f t="shared" si="6"/>
        <v>#DIV/0!</v>
      </c>
      <c r="G102" s="250" t="e">
        <f t="shared" si="5"/>
        <v>#DIV/0!</v>
      </c>
    </row>
    <row r="103" spans="1:7" ht="13.5" hidden="1">
      <c r="A103" s="274" t="s">
        <v>1470</v>
      </c>
      <c r="B103" s="147" t="s">
        <v>1471</v>
      </c>
      <c r="C103" s="255">
        <f>SUM(C104)</f>
        <v>0</v>
      </c>
      <c r="D103" s="255">
        <f>SUM(D104)</f>
        <v>0</v>
      </c>
      <c r="E103" s="255">
        <f>SUM(E104)</f>
        <v>0</v>
      </c>
      <c r="F103" s="249" t="e">
        <f t="shared" si="6"/>
        <v>#DIV/0!</v>
      </c>
      <c r="G103" s="250" t="e">
        <f t="shared" si="5"/>
        <v>#DIV/0!</v>
      </c>
    </row>
    <row r="104" spans="1:7" ht="24" hidden="1">
      <c r="A104" s="275" t="s">
        <v>1472</v>
      </c>
      <c r="B104" s="147" t="s">
        <v>1473</v>
      </c>
      <c r="C104" s="258">
        <v>0</v>
      </c>
      <c r="D104" s="248">
        <v>0</v>
      </c>
      <c r="E104" s="265">
        <v>0</v>
      </c>
      <c r="F104" s="249" t="e">
        <f t="shared" si="6"/>
        <v>#DIV/0!</v>
      </c>
      <c r="G104" s="250" t="e">
        <f t="shared" si="5"/>
        <v>#DIV/0!</v>
      </c>
    </row>
    <row r="105" spans="1:7" ht="13.5" hidden="1">
      <c r="A105" s="275" t="s">
        <v>1474</v>
      </c>
      <c r="B105" s="147" t="s">
        <v>1475</v>
      </c>
      <c r="C105" s="255">
        <f>C106</f>
        <v>0</v>
      </c>
      <c r="D105" s="255">
        <f>D106</f>
        <v>0</v>
      </c>
      <c r="E105" s="255">
        <f>E106</f>
        <v>0</v>
      </c>
      <c r="F105" s="249" t="e">
        <f t="shared" si="6"/>
        <v>#DIV/0!</v>
      </c>
      <c r="G105" s="250" t="e">
        <f t="shared" si="5"/>
        <v>#DIV/0!</v>
      </c>
    </row>
    <row r="106" spans="1:7" ht="13.5" hidden="1">
      <c r="A106" s="275" t="s">
        <v>1476</v>
      </c>
      <c r="B106" s="147" t="s">
        <v>1477</v>
      </c>
      <c r="C106" s="258">
        <v>0</v>
      </c>
      <c r="D106" s="248">
        <v>0</v>
      </c>
      <c r="E106" s="268">
        <v>0</v>
      </c>
      <c r="F106" s="249" t="e">
        <f t="shared" si="6"/>
        <v>#DIV/0!</v>
      </c>
      <c r="G106" s="250" t="e">
        <f t="shared" si="5"/>
        <v>#DIV/0!</v>
      </c>
    </row>
    <row r="107" spans="1:7" ht="13.5">
      <c r="A107" s="275" t="s">
        <v>742</v>
      </c>
      <c r="B107" s="150" t="s">
        <v>743</v>
      </c>
      <c r="C107" s="255">
        <f>C108</f>
        <v>300</v>
      </c>
      <c r="D107" s="255">
        <f>D108</f>
        <v>1375.6</v>
      </c>
      <c r="E107" s="255">
        <f>E108</f>
        <v>1517.8</v>
      </c>
      <c r="F107" s="249">
        <f t="shared" si="6"/>
        <v>505.9333333333333</v>
      </c>
      <c r="G107" s="250">
        <f t="shared" si="5"/>
        <v>110.33730735678976</v>
      </c>
    </row>
    <row r="108" spans="1:7" ht="36" customHeight="1">
      <c r="A108" s="275" t="s">
        <v>744</v>
      </c>
      <c r="B108" s="150" t="s">
        <v>745</v>
      </c>
      <c r="C108" s="258">
        <v>300</v>
      </c>
      <c r="D108" s="258">
        <v>1375.6</v>
      </c>
      <c r="E108" s="258">
        <v>1517.8</v>
      </c>
      <c r="F108" s="249">
        <f t="shared" si="6"/>
        <v>505.9333333333333</v>
      </c>
      <c r="G108" s="250">
        <f t="shared" si="5"/>
        <v>110.33730735678976</v>
      </c>
    </row>
    <row r="109" spans="1:7" ht="15" customHeight="1">
      <c r="A109" s="275" t="s">
        <v>1468</v>
      </c>
      <c r="B109" s="150" t="s">
        <v>746</v>
      </c>
      <c r="C109" s="255">
        <f>C110</f>
        <v>252</v>
      </c>
      <c r="D109" s="255">
        <f>D110</f>
        <v>4284.3</v>
      </c>
      <c r="E109" s="255">
        <f>E110</f>
        <v>4290.5</v>
      </c>
      <c r="F109" s="249">
        <f t="shared" si="6"/>
        <v>1702.5793650793653</v>
      </c>
      <c r="G109" s="250">
        <f t="shared" si="5"/>
        <v>100.14471442242608</v>
      </c>
    </row>
    <row r="110" spans="1:7" ht="25.5" customHeight="1">
      <c r="A110" s="275" t="s">
        <v>747</v>
      </c>
      <c r="B110" s="150" t="s">
        <v>748</v>
      </c>
      <c r="C110" s="258">
        <v>252</v>
      </c>
      <c r="D110" s="258">
        <v>4284.3</v>
      </c>
      <c r="E110" s="258">
        <v>4290.5</v>
      </c>
      <c r="F110" s="249">
        <f t="shared" si="6"/>
        <v>1702.5793650793653</v>
      </c>
      <c r="G110" s="250">
        <f t="shared" si="5"/>
        <v>100.14471442242608</v>
      </c>
    </row>
    <row r="111" spans="1:7" ht="24">
      <c r="A111" s="254" t="s">
        <v>1478</v>
      </c>
      <c r="B111" s="147" t="s">
        <v>1479</v>
      </c>
      <c r="C111" s="255">
        <f>C112+C114+C118</f>
        <v>45630</v>
      </c>
      <c r="D111" s="255">
        <f>D112+D114+D118</f>
        <v>194623.1</v>
      </c>
      <c r="E111" s="255">
        <f>E112+E114+E118</f>
        <v>316778.9</v>
      </c>
      <c r="F111" s="249">
        <f t="shared" si="6"/>
        <v>694.2338373876836</v>
      </c>
      <c r="G111" s="250">
        <f t="shared" si="5"/>
        <v>162.76531408656015</v>
      </c>
    </row>
    <row r="112" spans="1:7" ht="13.5">
      <c r="A112" s="254" t="s">
        <v>1480</v>
      </c>
      <c r="B112" s="147" t="s">
        <v>1481</v>
      </c>
      <c r="C112" s="255">
        <f>C113</f>
        <v>130</v>
      </c>
      <c r="D112" s="255">
        <f>D113</f>
        <v>798</v>
      </c>
      <c r="E112" s="255">
        <f>E113</f>
        <v>1028.6</v>
      </c>
      <c r="F112" s="249">
        <f t="shared" si="6"/>
        <v>791.2307692307692</v>
      </c>
      <c r="G112" s="250">
        <f t="shared" si="5"/>
        <v>128.8972431077694</v>
      </c>
    </row>
    <row r="113" spans="1:7" ht="31.5" customHeight="1">
      <c r="A113" s="254" t="s">
        <v>1482</v>
      </c>
      <c r="B113" s="147" t="s">
        <v>1483</v>
      </c>
      <c r="C113" s="258">
        <v>130</v>
      </c>
      <c r="D113" s="258">
        <v>798</v>
      </c>
      <c r="E113" s="258">
        <v>1028.6</v>
      </c>
      <c r="F113" s="249">
        <f t="shared" si="6"/>
        <v>791.2307692307692</v>
      </c>
      <c r="G113" s="250">
        <f t="shared" si="5"/>
        <v>128.8972431077694</v>
      </c>
    </row>
    <row r="114" spans="1:7" ht="48">
      <c r="A114" s="275" t="s">
        <v>1484</v>
      </c>
      <c r="B114" s="147" t="s">
        <v>1485</v>
      </c>
      <c r="C114" s="255">
        <f>C115</f>
        <v>500</v>
      </c>
      <c r="D114" s="255">
        <f>D115</f>
        <v>41825.1</v>
      </c>
      <c r="E114" s="255">
        <f>E115</f>
        <v>111090.9</v>
      </c>
      <c r="F114" s="249">
        <f t="shared" si="6"/>
        <v>22218.179999999997</v>
      </c>
      <c r="G114" s="250">
        <f t="shared" si="5"/>
        <v>265.6082113372114</v>
      </c>
    </row>
    <row r="115" spans="1:7" ht="48">
      <c r="A115" s="275" t="s">
        <v>749</v>
      </c>
      <c r="B115" s="150" t="s">
        <v>847</v>
      </c>
      <c r="C115" s="255">
        <f>C116+C117</f>
        <v>500</v>
      </c>
      <c r="D115" s="255">
        <f>D116+D117</f>
        <v>41825.1</v>
      </c>
      <c r="E115" s="255">
        <f>E116+E117</f>
        <v>111090.9</v>
      </c>
      <c r="F115" s="249">
        <f t="shared" si="6"/>
        <v>22218.179999999997</v>
      </c>
      <c r="G115" s="250">
        <f t="shared" si="5"/>
        <v>265.6082113372114</v>
      </c>
    </row>
    <row r="116" spans="1:7" ht="48">
      <c r="A116" s="254" t="s">
        <v>750</v>
      </c>
      <c r="B116" s="147" t="s">
        <v>448</v>
      </c>
      <c r="C116" s="258">
        <v>500</v>
      </c>
      <c r="D116" s="248">
        <v>0</v>
      </c>
      <c r="E116" s="248">
        <v>0</v>
      </c>
      <c r="F116" s="249">
        <f t="shared" si="6"/>
        <v>0</v>
      </c>
      <c r="G116" s="250"/>
    </row>
    <row r="117" spans="1:7" ht="48">
      <c r="A117" s="254" t="s">
        <v>449</v>
      </c>
      <c r="B117" s="147" t="s">
        <v>1188</v>
      </c>
      <c r="C117" s="258">
        <v>0</v>
      </c>
      <c r="D117" s="258">
        <v>41825.1</v>
      </c>
      <c r="E117" s="268">
        <v>111090.9</v>
      </c>
      <c r="F117" s="249"/>
      <c r="G117" s="250">
        <f t="shared" si="5"/>
        <v>265.6082113372114</v>
      </c>
    </row>
    <row r="118" spans="1:7" ht="36">
      <c r="A118" s="254" t="s">
        <v>461</v>
      </c>
      <c r="B118" s="147" t="s">
        <v>462</v>
      </c>
      <c r="C118" s="255">
        <f aca="true" t="shared" si="8" ref="C118:E119">C119</f>
        <v>45000</v>
      </c>
      <c r="D118" s="255">
        <f t="shared" si="8"/>
        <v>152000</v>
      </c>
      <c r="E118" s="255">
        <f t="shared" si="8"/>
        <v>204659.4</v>
      </c>
      <c r="F118" s="249">
        <f t="shared" si="6"/>
        <v>454.7986666666667</v>
      </c>
      <c r="G118" s="250">
        <f t="shared" si="5"/>
        <v>134.64434210526315</v>
      </c>
    </row>
    <row r="119" spans="1:7" ht="24">
      <c r="A119" s="254" t="s">
        <v>463</v>
      </c>
      <c r="B119" s="147" t="s">
        <v>464</v>
      </c>
      <c r="C119" s="255">
        <f t="shared" si="8"/>
        <v>45000</v>
      </c>
      <c r="D119" s="255">
        <f t="shared" si="8"/>
        <v>152000</v>
      </c>
      <c r="E119" s="255">
        <f t="shared" si="8"/>
        <v>204659.4</v>
      </c>
      <c r="F119" s="249">
        <f t="shared" si="6"/>
        <v>454.7986666666667</v>
      </c>
      <c r="G119" s="250">
        <f t="shared" si="5"/>
        <v>134.64434210526315</v>
      </c>
    </row>
    <row r="120" spans="1:7" ht="24">
      <c r="A120" s="254" t="s">
        <v>465</v>
      </c>
      <c r="B120" s="147" t="s">
        <v>520</v>
      </c>
      <c r="C120" s="258">
        <v>45000</v>
      </c>
      <c r="D120" s="258">
        <v>152000</v>
      </c>
      <c r="E120" s="258">
        <v>204659.4</v>
      </c>
      <c r="F120" s="249">
        <f t="shared" si="6"/>
        <v>454.7986666666667</v>
      </c>
      <c r="G120" s="250">
        <f t="shared" si="5"/>
        <v>134.64434210526315</v>
      </c>
    </row>
    <row r="121" spans="1:7" ht="13.5">
      <c r="A121" s="254" t="s">
        <v>521</v>
      </c>
      <c r="B121" s="147" t="s">
        <v>522</v>
      </c>
      <c r="C121" s="255">
        <f>C122+C125+C127+C129+C149+C126+C131+C139+C140+C141+C145+C147+C148</f>
        <v>5645</v>
      </c>
      <c r="D121" s="255">
        <f>D122+D125+D127+D129+D149+D126+D131+D139+D140+D141+D145+D147+D148</f>
        <v>11119</v>
      </c>
      <c r="E121" s="255">
        <f>E122+E125+E127+E129+E149+E126+E131+E139+E140+E141+E145+E147+E148</f>
        <v>11789.300000000001</v>
      </c>
      <c r="F121" s="249">
        <f t="shared" si="6"/>
        <v>208.84499557130204</v>
      </c>
      <c r="G121" s="250">
        <f t="shared" si="5"/>
        <v>106.02841982192643</v>
      </c>
    </row>
    <row r="122" spans="1:7" ht="13.5">
      <c r="A122" s="254" t="s">
        <v>523</v>
      </c>
      <c r="B122" s="147" t="s">
        <v>524</v>
      </c>
      <c r="C122" s="255">
        <f>C123+C124</f>
        <v>645</v>
      </c>
      <c r="D122" s="255">
        <f>D123+D124</f>
        <v>574</v>
      </c>
      <c r="E122" s="255">
        <f>E123+E124</f>
        <v>623.3000000000001</v>
      </c>
      <c r="F122" s="249">
        <f t="shared" si="6"/>
        <v>96.6356589147287</v>
      </c>
      <c r="G122" s="250">
        <f t="shared" si="5"/>
        <v>108.58885017421605</v>
      </c>
    </row>
    <row r="123" spans="1:7" ht="46.5" customHeight="1">
      <c r="A123" s="254" t="s">
        <v>525</v>
      </c>
      <c r="B123" s="147" t="s">
        <v>1448</v>
      </c>
      <c r="C123" s="258">
        <v>495</v>
      </c>
      <c r="D123" s="258">
        <v>530</v>
      </c>
      <c r="E123" s="258">
        <v>578.2</v>
      </c>
      <c r="F123" s="249">
        <f t="shared" si="6"/>
        <v>116.80808080808083</v>
      </c>
      <c r="G123" s="250">
        <f t="shared" si="5"/>
        <v>109.09433962264153</v>
      </c>
    </row>
    <row r="124" spans="1:7" ht="36">
      <c r="A124" s="254" t="s">
        <v>1449</v>
      </c>
      <c r="B124" s="147" t="s">
        <v>1450</v>
      </c>
      <c r="C124" s="258">
        <v>150</v>
      </c>
      <c r="D124" s="258">
        <v>44</v>
      </c>
      <c r="E124" s="258">
        <v>45.1</v>
      </c>
      <c r="F124" s="249">
        <f t="shared" si="6"/>
        <v>30.06666666666667</v>
      </c>
      <c r="G124" s="250">
        <f t="shared" si="5"/>
        <v>102.50000000000001</v>
      </c>
    </row>
    <row r="125" spans="1:7" ht="36">
      <c r="A125" s="254" t="s">
        <v>1451</v>
      </c>
      <c r="B125" s="147" t="s">
        <v>1452</v>
      </c>
      <c r="C125" s="258">
        <v>1500</v>
      </c>
      <c r="D125" s="258">
        <v>810</v>
      </c>
      <c r="E125" s="258">
        <v>456.8</v>
      </c>
      <c r="F125" s="249">
        <f t="shared" si="6"/>
        <v>30.453333333333333</v>
      </c>
      <c r="G125" s="250">
        <f t="shared" si="5"/>
        <v>56.39506172839507</v>
      </c>
    </row>
    <row r="126" spans="1:7" ht="36">
      <c r="A126" s="254" t="s">
        <v>1453</v>
      </c>
      <c r="B126" s="147" t="s">
        <v>685</v>
      </c>
      <c r="C126" s="258">
        <v>700</v>
      </c>
      <c r="D126" s="258">
        <v>1036</v>
      </c>
      <c r="E126" s="266">
        <v>1180.5</v>
      </c>
      <c r="F126" s="249">
        <f t="shared" si="6"/>
        <v>168.64285714285714</v>
      </c>
      <c r="G126" s="250">
        <f t="shared" si="5"/>
        <v>113.94787644787645</v>
      </c>
    </row>
    <row r="127" spans="1:7" ht="32.25" customHeight="1" hidden="1">
      <c r="A127" s="254" t="s">
        <v>1153</v>
      </c>
      <c r="B127" s="147" t="s">
        <v>780</v>
      </c>
      <c r="C127" s="255">
        <f>SUM(C128)</f>
        <v>0</v>
      </c>
      <c r="D127" s="255">
        <f>SUM(D128)</f>
        <v>0</v>
      </c>
      <c r="E127" s="255">
        <f>SUM(E128)</f>
        <v>0</v>
      </c>
      <c r="F127" s="249" t="e">
        <f t="shared" si="6"/>
        <v>#DIV/0!</v>
      </c>
      <c r="G127" s="250" t="e">
        <f t="shared" si="5"/>
        <v>#DIV/0!</v>
      </c>
    </row>
    <row r="128" spans="1:7" ht="22.5" customHeight="1" hidden="1">
      <c r="A128" s="254" t="s">
        <v>781</v>
      </c>
      <c r="B128" s="147" t="s">
        <v>782</v>
      </c>
      <c r="C128" s="258"/>
      <c r="D128" s="265"/>
      <c r="E128" s="276"/>
      <c r="F128" s="249" t="e">
        <f t="shared" si="6"/>
        <v>#DIV/0!</v>
      </c>
      <c r="G128" s="250" t="e">
        <f t="shared" si="5"/>
        <v>#DIV/0!</v>
      </c>
    </row>
    <row r="129" spans="1:7" ht="24" hidden="1">
      <c r="A129" s="254" t="s">
        <v>783</v>
      </c>
      <c r="B129" s="147" t="s">
        <v>784</v>
      </c>
      <c r="C129" s="255">
        <f>C130</f>
        <v>0</v>
      </c>
      <c r="D129" s="255">
        <f>D130</f>
        <v>0</v>
      </c>
      <c r="E129" s="255">
        <f>E130</f>
        <v>0</v>
      </c>
      <c r="F129" s="249" t="e">
        <f t="shared" si="6"/>
        <v>#DIV/0!</v>
      </c>
      <c r="G129" s="250" t="e">
        <f t="shared" si="5"/>
        <v>#DIV/0!</v>
      </c>
    </row>
    <row r="130" spans="1:7" ht="36" hidden="1">
      <c r="A130" s="254" t="s">
        <v>785</v>
      </c>
      <c r="B130" s="147" t="s">
        <v>1164</v>
      </c>
      <c r="C130" s="258">
        <v>0</v>
      </c>
      <c r="D130" s="248">
        <v>0</v>
      </c>
      <c r="E130" s="265"/>
      <c r="F130" s="249" t="e">
        <f t="shared" si="6"/>
        <v>#DIV/0!</v>
      </c>
      <c r="G130" s="250" t="e">
        <f t="shared" si="5"/>
        <v>#DIV/0!</v>
      </c>
    </row>
    <row r="131" spans="1:7" ht="48">
      <c r="A131" s="254" t="s">
        <v>1165</v>
      </c>
      <c r="B131" s="147" t="s">
        <v>1166</v>
      </c>
      <c r="C131" s="255">
        <f>SUM(C134+C136+C137+C132+C133+C135)</f>
        <v>700</v>
      </c>
      <c r="D131" s="255">
        <f>SUM(D134+D136+D137+D132+D133+D135)</f>
        <v>2058.3</v>
      </c>
      <c r="E131" s="255">
        <f>SUM(E134+E136+E137+E132+E133+E135)</f>
        <v>2133.4</v>
      </c>
      <c r="F131" s="249">
        <f t="shared" si="6"/>
        <v>304.7714285714286</v>
      </c>
      <c r="G131" s="250">
        <f t="shared" si="5"/>
        <v>103.6486420832726</v>
      </c>
    </row>
    <row r="132" spans="1:7" ht="25.5" customHeight="1" hidden="1">
      <c r="A132" s="254" t="s">
        <v>1167</v>
      </c>
      <c r="B132" s="147" t="s">
        <v>1168</v>
      </c>
      <c r="C132" s="258">
        <v>0</v>
      </c>
      <c r="D132" s="258">
        <v>0</v>
      </c>
      <c r="E132" s="258">
        <v>0</v>
      </c>
      <c r="F132" s="249" t="e">
        <f t="shared" si="6"/>
        <v>#DIV/0!</v>
      </c>
      <c r="G132" s="250" t="e">
        <f t="shared" si="5"/>
        <v>#DIV/0!</v>
      </c>
    </row>
    <row r="133" spans="1:7" ht="24" hidden="1">
      <c r="A133" s="254" t="s">
        <v>921</v>
      </c>
      <c r="B133" s="147" t="s">
        <v>1154</v>
      </c>
      <c r="C133" s="258">
        <v>0</v>
      </c>
      <c r="D133" s="258"/>
      <c r="E133" s="258"/>
      <c r="F133" s="249" t="e">
        <f t="shared" si="6"/>
        <v>#DIV/0!</v>
      </c>
      <c r="G133" s="250" t="e">
        <f t="shared" si="5"/>
        <v>#DIV/0!</v>
      </c>
    </row>
    <row r="134" spans="1:7" ht="24" hidden="1">
      <c r="A134" s="254" t="s">
        <v>1155</v>
      </c>
      <c r="B134" s="147" t="s">
        <v>1156</v>
      </c>
      <c r="C134" s="258">
        <v>0</v>
      </c>
      <c r="D134" s="248">
        <v>0</v>
      </c>
      <c r="E134" s="248"/>
      <c r="F134" s="249" t="e">
        <f t="shared" si="6"/>
        <v>#DIV/0!</v>
      </c>
      <c r="G134" s="250" t="e">
        <f t="shared" si="5"/>
        <v>#DIV/0!</v>
      </c>
    </row>
    <row r="135" spans="1:7" ht="50.25" customHeight="1">
      <c r="A135" s="254" t="s">
        <v>1157</v>
      </c>
      <c r="B135" s="147" t="s">
        <v>1158</v>
      </c>
      <c r="C135" s="258">
        <v>300</v>
      </c>
      <c r="D135" s="258">
        <v>1739.5</v>
      </c>
      <c r="E135" s="258">
        <v>1794.5</v>
      </c>
      <c r="F135" s="249">
        <f t="shared" si="6"/>
        <v>598.1666666666666</v>
      </c>
      <c r="G135" s="250">
        <f t="shared" si="5"/>
        <v>103.1618281115263</v>
      </c>
    </row>
    <row r="136" spans="1:7" ht="32.25" customHeight="1">
      <c r="A136" s="254" t="s">
        <v>1159</v>
      </c>
      <c r="B136" s="147" t="s">
        <v>1160</v>
      </c>
      <c r="C136" s="258">
        <v>400</v>
      </c>
      <c r="D136" s="258">
        <v>318.8</v>
      </c>
      <c r="E136" s="258">
        <v>338.9</v>
      </c>
      <c r="F136" s="249">
        <f t="shared" si="6"/>
        <v>84.725</v>
      </c>
      <c r="G136" s="250">
        <f t="shared" si="5"/>
        <v>106.30489335006273</v>
      </c>
    </row>
    <row r="137" spans="1:7" ht="13.5" hidden="1">
      <c r="A137" s="254" t="s">
        <v>1161</v>
      </c>
      <c r="B137" s="147" t="s">
        <v>1162</v>
      </c>
      <c r="C137" s="255">
        <f>C138</f>
        <v>0</v>
      </c>
      <c r="D137" s="255">
        <f>D138</f>
        <v>0</v>
      </c>
      <c r="E137" s="255">
        <f>E138</f>
        <v>0</v>
      </c>
      <c r="F137" s="249" t="e">
        <f t="shared" si="6"/>
        <v>#DIV/0!</v>
      </c>
      <c r="G137" s="250" t="e">
        <f t="shared" si="5"/>
        <v>#DIV/0!</v>
      </c>
    </row>
    <row r="138" spans="1:7" ht="36" hidden="1">
      <c r="A138" s="254" t="s">
        <v>1460</v>
      </c>
      <c r="B138" s="147" t="s">
        <v>1461</v>
      </c>
      <c r="C138" s="258">
        <v>0</v>
      </c>
      <c r="D138" s="248">
        <v>0</v>
      </c>
      <c r="E138" s="248"/>
      <c r="F138" s="249" t="e">
        <f t="shared" si="6"/>
        <v>#DIV/0!</v>
      </c>
      <c r="G138" s="250" t="e">
        <f t="shared" si="5"/>
        <v>#DIV/0!</v>
      </c>
    </row>
    <row r="139" spans="1:7" ht="18.75" customHeight="1" hidden="1">
      <c r="A139" s="254" t="s">
        <v>1462</v>
      </c>
      <c r="B139" s="147" t="s">
        <v>1463</v>
      </c>
      <c r="C139" s="258">
        <v>0</v>
      </c>
      <c r="D139" s="258">
        <v>0</v>
      </c>
      <c r="E139" s="248"/>
      <c r="F139" s="249" t="e">
        <f t="shared" si="6"/>
        <v>#DIV/0!</v>
      </c>
      <c r="G139" s="250" t="e">
        <f t="shared" si="5"/>
        <v>#DIV/0!</v>
      </c>
    </row>
    <row r="140" spans="1:7" ht="36">
      <c r="A140" s="254" t="s">
        <v>1464</v>
      </c>
      <c r="B140" s="147" t="s">
        <v>470</v>
      </c>
      <c r="C140" s="258">
        <v>500</v>
      </c>
      <c r="D140" s="258">
        <v>0</v>
      </c>
      <c r="E140" s="258">
        <v>0</v>
      </c>
      <c r="F140" s="249">
        <f t="shared" si="6"/>
        <v>0</v>
      </c>
      <c r="G140" s="250"/>
    </row>
    <row r="141" spans="1:7" ht="26.25" customHeight="1">
      <c r="A141" s="254" t="s">
        <v>471</v>
      </c>
      <c r="B141" s="147" t="s">
        <v>472</v>
      </c>
      <c r="C141" s="255">
        <v>0</v>
      </c>
      <c r="D141" s="255">
        <f>D142+D144</f>
        <v>1006.4</v>
      </c>
      <c r="E141" s="255">
        <f>E142+E144</f>
        <v>1094.9</v>
      </c>
      <c r="F141" s="249"/>
      <c r="G141" s="250">
        <f t="shared" si="5"/>
        <v>108.79372019077903</v>
      </c>
    </row>
    <row r="142" spans="1:7" s="180" customFormat="1" ht="24">
      <c r="A142" s="254" t="s">
        <v>298</v>
      </c>
      <c r="B142" s="147" t="s">
        <v>299</v>
      </c>
      <c r="C142" s="258"/>
      <c r="D142" s="255">
        <f>D143</f>
        <v>155</v>
      </c>
      <c r="E142" s="255">
        <f>E143</f>
        <v>155</v>
      </c>
      <c r="F142" s="249"/>
      <c r="G142" s="250">
        <f t="shared" si="5"/>
        <v>100</v>
      </c>
    </row>
    <row r="143" spans="1:7" s="180" customFormat="1" ht="36">
      <c r="A143" s="254" t="s">
        <v>300</v>
      </c>
      <c r="B143" s="147" t="s">
        <v>301</v>
      </c>
      <c r="C143" s="258"/>
      <c r="D143" s="258">
        <v>155</v>
      </c>
      <c r="E143" s="258">
        <v>155</v>
      </c>
      <c r="F143" s="249"/>
      <c r="G143" s="250">
        <f t="shared" si="5"/>
        <v>100</v>
      </c>
    </row>
    <row r="144" spans="1:7" s="180" customFormat="1" ht="24">
      <c r="A144" s="254" t="s">
        <v>302</v>
      </c>
      <c r="B144" s="147" t="s">
        <v>303</v>
      </c>
      <c r="C144" s="258"/>
      <c r="D144" s="258">
        <v>851.4</v>
      </c>
      <c r="E144" s="258">
        <v>939.9</v>
      </c>
      <c r="F144" s="249"/>
      <c r="G144" s="250">
        <f t="shared" si="5"/>
        <v>110.39464411557435</v>
      </c>
    </row>
    <row r="145" spans="1:7" s="180" customFormat="1" ht="36" hidden="1">
      <c r="A145" s="254" t="s">
        <v>473</v>
      </c>
      <c r="B145" s="147" t="s">
        <v>474</v>
      </c>
      <c r="C145" s="258">
        <f>C146</f>
        <v>0</v>
      </c>
      <c r="D145" s="258">
        <f>D146</f>
        <v>0</v>
      </c>
      <c r="E145" s="258">
        <f>E146</f>
        <v>0</v>
      </c>
      <c r="F145" s="249"/>
      <c r="G145" s="250"/>
    </row>
    <row r="146" spans="1:7" s="180" customFormat="1" ht="36" hidden="1">
      <c r="A146" s="254" t="s">
        <v>475</v>
      </c>
      <c r="B146" s="147" t="s">
        <v>476</v>
      </c>
      <c r="C146" s="258">
        <v>0</v>
      </c>
      <c r="D146" s="258">
        <v>0</v>
      </c>
      <c r="E146" s="258"/>
      <c r="F146" s="249"/>
      <c r="G146" s="250"/>
    </row>
    <row r="147" spans="1:7" s="180" customFormat="1" ht="38.25" customHeight="1">
      <c r="A147" s="254" t="s">
        <v>450</v>
      </c>
      <c r="B147" s="147" t="s">
        <v>451</v>
      </c>
      <c r="C147" s="258"/>
      <c r="D147" s="258">
        <v>1630.9</v>
      </c>
      <c r="E147" s="258">
        <v>1777.1</v>
      </c>
      <c r="F147" s="249"/>
      <c r="G147" s="250">
        <f aca="true" t="shared" si="9" ref="G147:G209">E147/D147*100</f>
        <v>108.96437549819117</v>
      </c>
    </row>
    <row r="148" spans="1:7" s="180" customFormat="1" ht="38.25" customHeight="1">
      <c r="A148" s="254" t="s">
        <v>304</v>
      </c>
      <c r="B148" s="147" t="s">
        <v>305</v>
      </c>
      <c r="C148" s="258">
        <v>200</v>
      </c>
      <c r="D148" s="258">
        <v>250</v>
      </c>
      <c r="E148" s="258">
        <v>256</v>
      </c>
      <c r="F148" s="249">
        <f aca="true" t="shared" si="10" ref="F148:F207">E148/C148*100</f>
        <v>128</v>
      </c>
      <c r="G148" s="250">
        <f t="shared" si="9"/>
        <v>102.4</v>
      </c>
    </row>
    <row r="149" spans="1:7" s="180" customFormat="1" ht="44.25" customHeight="1">
      <c r="A149" s="254" t="s">
        <v>477</v>
      </c>
      <c r="B149" s="147" t="s">
        <v>478</v>
      </c>
      <c r="C149" s="255">
        <f>SUM(C150)</f>
        <v>1400</v>
      </c>
      <c r="D149" s="255">
        <f>SUM(D150)</f>
        <v>3753.4</v>
      </c>
      <c r="E149" s="255">
        <f>SUM(E150)</f>
        <v>4267.3</v>
      </c>
      <c r="F149" s="249">
        <f t="shared" si="10"/>
        <v>304.8071428571429</v>
      </c>
      <c r="G149" s="250">
        <f t="shared" si="9"/>
        <v>113.69158629509246</v>
      </c>
    </row>
    <row r="150" spans="1:7" ht="24">
      <c r="A150" s="254" t="s">
        <v>479</v>
      </c>
      <c r="B150" s="147" t="s">
        <v>480</v>
      </c>
      <c r="C150" s="258">
        <v>1400</v>
      </c>
      <c r="D150" s="258">
        <v>3753.4</v>
      </c>
      <c r="E150" s="258">
        <v>4267.3</v>
      </c>
      <c r="F150" s="249">
        <f t="shared" si="10"/>
        <v>304.8071428571429</v>
      </c>
      <c r="G150" s="250">
        <f t="shared" si="9"/>
        <v>113.69158629509246</v>
      </c>
    </row>
    <row r="151" spans="1:7" ht="13.5">
      <c r="A151" s="254" t="s">
        <v>481</v>
      </c>
      <c r="B151" s="147" t="s">
        <v>482</v>
      </c>
      <c r="C151" s="255">
        <f>C152+C154+C156</f>
        <v>2000</v>
      </c>
      <c r="D151" s="255">
        <f>D152+D154+D156</f>
        <v>3734.9</v>
      </c>
      <c r="E151" s="255">
        <f>E152+E154+E156</f>
        <v>4877.1</v>
      </c>
      <c r="F151" s="249">
        <f t="shared" si="10"/>
        <v>243.85500000000002</v>
      </c>
      <c r="G151" s="250">
        <f t="shared" si="9"/>
        <v>130.58180941926156</v>
      </c>
    </row>
    <row r="152" spans="1:7" ht="13.5">
      <c r="A152" s="254" t="s">
        <v>483</v>
      </c>
      <c r="B152" s="147" t="s">
        <v>484</v>
      </c>
      <c r="C152" s="258">
        <f>C153</f>
        <v>0</v>
      </c>
      <c r="D152" s="258">
        <f>D153</f>
        <v>0</v>
      </c>
      <c r="E152" s="255">
        <f>E153</f>
        <v>101.6</v>
      </c>
      <c r="F152" s="249"/>
      <c r="G152" s="250"/>
    </row>
    <row r="153" spans="1:7" ht="24" customHeight="1">
      <c r="A153" s="254" t="s">
        <v>485</v>
      </c>
      <c r="B153" s="147" t="s">
        <v>1139</v>
      </c>
      <c r="C153" s="258"/>
      <c r="D153" s="265"/>
      <c r="E153" s="258">
        <v>101.6</v>
      </c>
      <c r="F153" s="249"/>
      <c r="G153" s="250"/>
    </row>
    <row r="154" spans="1:7" ht="56.25" customHeight="1" hidden="1">
      <c r="A154" s="254" t="s">
        <v>1323</v>
      </c>
      <c r="B154" s="147" t="s">
        <v>1324</v>
      </c>
      <c r="C154" s="255">
        <f>C155</f>
        <v>0</v>
      </c>
      <c r="D154" s="255">
        <f>D155</f>
        <v>0</v>
      </c>
      <c r="E154" s="255">
        <f>E155</f>
        <v>0</v>
      </c>
      <c r="F154" s="249" t="e">
        <f t="shared" si="10"/>
        <v>#DIV/0!</v>
      </c>
      <c r="G154" s="250" t="e">
        <f t="shared" si="9"/>
        <v>#DIV/0!</v>
      </c>
    </row>
    <row r="155" spans="1:7" ht="55.5" customHeight="1" hidden="1">
      <c r="A155" s="254" t="s">
        <v>1325</v>
      </c>
      <c r="B155" s="147" t="s">
        <v>1326</v>
      </c>
      <c r="C155" s="258"/>
      <c r="D155" s="258"/>
      <c r="E155" s="268"/>
      <c r="F155" s="249" t="e">
        <f t="shared" si="10"/>
        <v>#DIV/0!</v>
      </c>
      <c r="G155" s="250" t="e">
        <f t="shared" si="9"/>
        <v>#DIV/0!</v>
      </c>
    </row>
    <row r="156" spans="1:7" ht="13.5">
      <c r="A156" s="254" t="s">
        <v>1327</v>
      </c>
      <c r="B156" s="147" t="s">
        <v>1328</v>
      </c>
      <c r="C156" s="255">
        <f>SUM(C157)</f>
        <v>2000</v>
      </c>
      <c r="D156" s="255">
        <f>SUM(D157)</f>
        <v>3734.9</v>
      </c>
      <c r="E156" s="255">
        <f>SUM(E157)</f>
        <v>4775.5</v>
      </c>
      <c r="F156" s="249">
        <f t="shared" si="10"/>
        <v>238.775</v>
      </c>
      <c r="G156" s="250">
        <f t="shared" si="9"/>
        <v>127.86152239685131</v>
      </c>
    </row>
    <row r="157" spans="1:7" ht="27.75" customHeight="1">
      <c r="A157" s="254" t="s">
        <v>1329</v>
      </c>
      <c r="B157" s="147" t="s">
        <v>1330</v>
      </c>
      <c r="C157" s="258">
        <v>2000</v>
      </c>
      <c r="D157" s="258">
        <v>3734.9</v>
      </c>
      <c r="E157" s="258">
        <v>4775.5</v>
      </c>
      <c r="F157" s="249">
        <f t="shared" si="10"/>
        <v>238.775</v>
      </c>
      <c r="G157" s="250">
        <f t="shared" si="9"/>
        <v>127.86152239685131</v>
      </c>
    </row>
    <row r="158" spans="1:7" ht="38.25" customHeight="1" hidden="1">
      <c r="A158" s="277" t="s">
        <v>1331</v>
      </c>
      <c r="B158" s="278" t="s">
        <v>1332</v>
      </c>
      <c r="C158" s="259">
        <f>C159</f>
        <v>0</v>
      </c>
      <c r="D158" s="259">
        <f>D159</f>
        <v>0</v>
      </c>
      <c r="E158" s="259">
        <f>E159</f>
        <v>0</v>
      </c>
      <c r="F158" s="249" t="e">
        <f t="shared" si="10"/>
        <v>#DIV/0!</v>
      </c>
      <c r="G158" s="250" t="e">
        <f t="shared" si="9"/>
        <v>#DIV/0!</v>
      </c>
    </row>
    <row r="159" spans="1:7" ht="15" customHeight="1" hidden="1">
      <c r="A159" s="277" t="s">
        <v>1333</v>
      </c>
      <c r="B159" s="278" t="s">
        <v>1334</v>
      </c>
      <c r="C159" s="279">
        <v>0</v>
      </c>
      <c r="D159" s="279">
        <v>0</v>
      </c>
      <c r="E159" s="280">
        <v>0</v>
      </c>
      <c r="F159" s="249" t="e">
        <f t="shared" si="10"/>
        <v>#DIV/0!</v>
      </c>
      <c r="G159" s="250" t="e">
        <f t="shared" si="9"/>
        <v>#DIV/0!</v>
      </c>
    </row>
    <row r="160" spans="1:7" ht="13.5">
      <c r="A160" s="251" t="s">
        <v>1335</v>
      </c>
      <c r="B160" s="263" t="s">
        <v>1336</v>
      </c>
      <c r="C160" s="281">
        <f>C161+C225+C230</f>
        <v>1559880</v>
      </c>
      <c r="D160" s="281">
        <f>D161+D225+D230</f>
        <v>1679072.3999999997</v>
      </c>
      <c r="E160" s="281">
        <f>E161+E225+E230</f>
        <v>1628603.6999999997</v>
      </c>
      <c r="F160" s="249">
        <f t="shared" si="10"/>
        <v>104.40570428494497</v>
      </c>
      <c r="G160" s="250">
        <f t="shared" si="9"/>
        <v>96.99425111150657</v>
      </c>
    </row>
    <row r="161" spans="1:7" ht="23.25" customHeight="1">
      <c r="A161" s="251" t="s">
        <v>1337</v>
      </c>
      <c r="B161" s="263" t="s">
        <v>1338</v>
      </c>
      <c r="C161" s="282">
        <f>C164+C185+C214+C162</f>
        <v>1559880</v>
      </c>
      <c r="D161" s="282">
        <f>D164+D185+D214+D162</f>
        <v>1741270.5999999999</v>
      </c>
      <c r="E161" s="282">
        <f>E164+E185+E214+E162</f>
        <v>1690807.0999999999</v>
      </c>
      <c r="F161" s="249">
        <f t="shared" si="10"/>
        <v>108.393408467318</v>
      </c>
      <c r="G161" s="250">
        <f t="shared" si="9"/>
        <v>97.10191511876442</v>
      </c>
    </row>
    <row r="162" spans="1:7" ht="13.5" hidden="1">
      <c r="A162" s="254" t="s">
        <v>1339</v>
      </c>
      <c r="B162" s="147" t="s">
        <v>1340</v>
      </c>
      <c r="C162" s="282">
        <f>C163</f>
        <v>0</v>
      </c>
      <c r="D162" s="282">
        <f>D163</f>
        <v>0</v>
      </c>
      <c r="E162" s="282">
        <f>E163</f>
        <v>0</v>
      </c>
      <c r="F162" s="249" t="e">
        <f t="shared" si="10"/>
        <v>#DIV/0!</v>
      </c>
      <c r="G162" s="250" t="e">
        <f t="shared" si="9"/>
        <v>#DIV/0!</v>
      </c>
    </row>
    <row r="163" spans="1:7" ht="31.5" customHeight="1" hidden="1">
      <c r="A163" s="254" t="s">
        <v>1341</v>
      </c>
      <c r="B163" s="147" t="s">
        <v>1342</v>
      </c>
      <c r="C163" s="283">
        <v>0</v>
      </c>
      <c r="D163" s="283">
        <v>0</v>
      </c>
      <c r="E163" s="284">
        <v>0</v>
      </c>
      <c r="F163" s="249" t="e">
        <f t="shared" si="10"/>
        <v>#DIV/0!</v>
      </c>
      <c r="G163" s="250" t="e">
        <f t="shared" si="9"/>
        <v>#DIV/0!</v>
      </c>
    </row>
    <row r="164" spans="1:7" ht="24">
      <c r="A164" s="254" t="s">
        <v>1343</v>
      </c>
      <c r="B164" s="147" t="s">
        <v>1344</v>
      </c>
      <c r="C164" s="282">
        <f>C183+C171+C175+C178+C167+C165+C173+C181+C169</f>
        <v>365</v>
      </c>
      <c r="D164" s="282">
        <f>D183+D171+D175+D178+D167+D165+D173+D181+D169</f>
        <v>113094.4</v>
      </c>
      <c r="E164" s="282">
        <f>E183+E171+E175+E178+E167+E165+E173+E181+E169</f>
        <v>92391</v>
      </c>
      <c r="F164" s="249">
        <f t="shared" si="10"/>
        <v>25312.60273972603</v>
      </c>
      <c r="G164" s="250">
        <f t="shared" si="9"/>
        <v>81.69370013015676</v>
      </c>
    </row>
    <row r="165" spans="1:7" ht="13.5">
      <c r="A165" s="254" t="s">
        <v>384</v>
      </c>
      <c r="B165" s="147" t="s">
        <v>385</v>
      </c>
      <c r="C165" s="282">
        <f>C166</f>
        <v>0</v>
      </c>
      <c r="D165" s="282">
        <f>D166</f>
        <v>2680</v>
      </c>
      <c r="E165" s="282">
        <f>E166</f>
        <v>2679.7</v>
      </c>
      <c r="F165" s="249"/>
      <c r="G165" s="250">
        <f t="shared" si="9"/>
        <v>99.98880597014924</v>
      </c>
    </row>
    <row r="166" spans="1:7" ht="13.5">
      <c r="A166" s="254" t="s">
        <v>306</v>
      </c>
      <c r="B166" s="147" t="s">
        <v>386</v>
      </c>
      <c r="C166" s="283">
        <v>0</v>
      </c>
      <c r="D166" s="283">
        <v>2680</v>
      </c>
      <c r="E166" s="258">
        <v>2679.7</v>
      </c>
      <c r="F166" s="249"/>
      <c r="G166" s="250">
        <f t="shared" si="9"/>
        <v>99.98880597014924</v>
      </c>
    </row>
    <row r="167" spans="1:7" ht="33.75" customHeight="1">
      <c r="A167" s="254" t="s">
        <v>888</v>
      </c>
      <c r="B167" s="147" t="s">
        <v>691</v>
      </c>
      <c r="C167" s="282">
        <f>C168</f>
        <v>0</v>
      </c>
      <c r="D167" s="282">
        <f>D168</f>
        <v>5000</v>
      </c>
      <c r="E167" s="282">
        <f>E168</f>
        <v>5000</v>
      </c>
      <c r="F167" s="249"/>
      <c r="G167" s="250">
        <f t="shared" si="9"/>
        <v>100</v>
      </c>
    </row>
    <row r="168" spans="1:7" ht="24">
      <c r="A168" s="254" t="s">
        <v>692</v>
      </c>
      <c r="B168" s="147" t="s">
        <v>693</v>
      </c>
      <c r="C168" s="283"/>
      <c r="D168" s="283">
        <v>5000</v>
      </c>
      <c r="E168" s="283">
        <v>5000</v>
      </c>
      <c r="F168" s="249"/>
      <c r="G168" s="250">
        <f t="shared" si="9"/>
        <v>100</v>
      </c>
    </row>
    <row r="169" spans="1:7" ht="31.5" customHeight="1" hidden="1">
      <c r="A169" s="254" t="s">
        <v>452</v>
      </c>
      <c r="B169" s="147" t="s">
        <v>453</v>
      </c>
      <c r="C169" s="282">
        <f>C170</f>
        <v>0</v>
      </c>
      <c r="D169" s="282">
        <f>D170</f>
        <v>0</v>
      </c>
      <c r="E169" s="282">
        <f>E170</f>
        <v>0</v>
      </c>
      <c r="F169" s="249" t="e">
        <f t="shared" si="10"/>
        <v>#DIV/0!</v>
      </c>
      <c r="G169" s="250" t="e">
        <f t="shared" si="9"/>
        <v>#DIV/0!</v>
      </c>
    </row>
    <row r="170" spans="1:7" ht="31.5" customHeight="1" hidden="1">
      <c r="A170" s="254" t="s">
        <v>454</v>
      </c>
      <c r="B170" s="147" t="s">
        <v>455</v>
      </c>
      <c r="C170" s="283">
        <v>0</v>
      </c>
      <c r="D170" s="283">
        <v>0</v>
      </c>
      <c r="E170" s="284"/>
      <c r="F170" s="249" t="e">
        <f t="shared" si="10"/>
        <v>#DIV/0!</v>
      </c>
      <c r="G170" s="250" t="e">
        <f t="shared" si="9"/>
        <v>#DIV/0!</v>
      </c>
    </row>
    <row r="171" spans="1:7" ht="24" hidden="1">
      <c r="A171" s="254" t="s">
        <v>1345</v>
      </c>
      <c r="B171" s="147" t="s">
        <v>1346</v>
      </c>
      <c r="C171" s="282">
        <f>C172</f>
        <v>0</v>
      </c>
      <c r="D171" s="282">
        <f>D172</f>
        <v>0</v>
      </c>
      <c r="E171" s="282">
        <f>E172</f>
        <v>0</v>
      </c>
      <c r="F171" s="249" t="e">
        <f t="shared" si="10"/>
        <v>#DIV/0!</v>
      </c>
      <c r="G171" s="250" t="e">
        <f t="shared" si="9"/>
        <v>#DIV/0!</v>
      </c>
    </row>
    <row r="172" spans="1:7" ht="36" hidden="1">
      <c r="A172" s="254" t="s">
        <v>1347</v>
      </c>
      <c r="B172" s="147" t="s">
        <v>1348</v>
      </c>
      <c r="C172" s="283">
        <v>0</v>
      </c>
      <c r="D172" s="283">
        <v>0</v>
      </c>
      <c r="E172" s="284"/>
      <c r="F172" s="249" t="e">
        <f t="shared" si="10"/>
        <v>#DIV/0!</v>
      </c>
      <c r="G172" s="250" t="e">
        <f t="shared" si="9"/>
        <v>#DIV/0!</v>
      </c>
    </row>
    <row r="173" spans="1:7" ht="54.75" customHeight="1" hidden="1">
      <c r="A173" s="254" t="s">
        <v>694</v>
      </c>
      <c r="B173" s="147" t="s">
        <v>695</v>
      </c>
      <c r="C173" s="282">
        <f>C174</f>
        <v>0</v>
      </c>
      <c r="D173" s="282">
        <f>D174</f>
        <v>0</v>
      </c>
      <c r="E173" s="284"/>
      <c r="F173" s="249" t="e">
        <f t="shared" si="10"/>
        <v>#DIV/0!</v>
      </c>
      <c r="G173" s="250" t="e">
        <f t="shared" si="9"/>
        <v>#DIV/0!</v>
      </c>
    </row>
    <row r="174" spans="1:7" ht="51.75" customHeight="1" hidden="1">
      <c r="A174" s="254" t="s">
        <v>696</v>
      </c>
      <c r="B174" s="147" t="s">
        <v>697</v>
      </c>
      <c r="C174" s="283">
        <v>0</v>
      </c>
      <c r="D174" s="283">
        <v>0</v>
      </c>
      <c r="E174" s="284"/>
      <c r="F174" s="249" t="e">
        <f t="shared" si="10"/>
        <v>#DIV/0!</v>
      </c>
      <c r="G174" s="250" t="e">
        <f t="shared" si="9"/>
        <v>#DIV/0!</v>
      </c>
    </row>
    <row r="175" spans="1:7" ht="36">
      <c r="A175" s="254" t="s">
        <v>965</v>
      </c>
      <c r="B175" s="518" t="s">
        <v>967</v>
      </c>
      <c r="C175" s="282">
        <f aca="true" t="shared" si="11" ref="C175:E176">C176</f>
        <v>0</v>
      </c>
      <c r="D175" s="282">
        <f t="shared" si="11"/>
        <v>3537.4</v>
      </c>
      <c r="E175" s="282">
        <f t="shared" si="11"/>
        <v>1082.2</v>
      </c>
      <c r="F175" s="249"/>
      <c r="G175" s="250">
        <f t="shared" si="9"/>
        <v>30.59309097076949</v>
      </c>
    </row>
    <row r="176" spans="1:7" ht="36">
      <c r="A176" s="254" t="s">
        <v>966</v>
      </c>
      <c r="B176" s="518" t="s">
        <v>968</v>
      </c>
      <c r="C176" s="282">
        <f t="shared" si="11"/>
        <v>0</v>
      </c>
      <c r="D176" s="283">
        <v>3537.4</v>
      </c>
      <c r="E176" s="282">
        <v>1082.2</v>
      </c>
      <c r="F176" s="249"/>
      <c r="G176" s="250">
        <f t="shared" si="9"/>
        <v>30.59309097076949</v>
      </c>
    </row>
    <row r="177" spans="1:7" ht="48" hidden="1">
      <c r="A177" s="254" t="s">
        <v>1455</v>
      </c>
      <c r="B177" s="147" t="s">
        <v>929</v>
      </c>
      <c r="C177" s="283">
        <v>0</v>
      </c>
      <c r="D177" s="283">
        <v>0</v>
      </c>
      <c r="E177" s="284"/>
      <c r="F177" s="249"/>
      <c r="G177" s="250" t="e">
        <f t="shared" si="9"/>
        <v>#DIV/0!</v>
      </c>
    </row>
    <row r="178" spans="1:7" ht="36" hidden="1">
      <c r="A178" s="254" t="s">
        <v>930</v>
      </c>
      <c r="B178" s="147" t="s">
        <v>807</v>
      </c>
      <c r="C178" s="282">
        <f aca="true" t="shared" si="12" ref="C178:E179">C179</f>
        <v>0</v>
      </c>
      <c r="D178" s="282">
        <f t="shared" si="12"/>
        <v>0</v>
      </c>
      <c r="E178" s="282">
        <f t="shared" si="12"/>
        <v>0</v>
      </c>
      <c r="F178" s="249"/>
      <c r="G178" s="250" t="e">
        <f t="shared" si="9"/>
        <v>#DIV/0!</v>
      </c>
    </row>
    <row r="179" spans="1:7" ht="65.25" customHeight="1" hidden="1">
      <c r="A179" s="254" t="s">
        <v>808</v>
      </c>
      <c r="B179" s="147" t="s">
        <v>619</v>
      </c>
      <c r="C179" s="282">
        <f t="shared" si="12"/>
        <v>0</v>
      </c>
      <c r="D179" s="282">
        <f t="shared" si="12"/>
        <v>0</v>
      </c>
      <c r="E179" s="282"/>
      <c r="F179" s="249"/>
      <c r="G179" s="250" t="e">
        <f t="shared" si="9"/>
        <v>#DIV/0!</v>
      </c>
    </row>
    <row r="180" spans="1:7" ht="69.75" customHeight="1" hidden="1">
      <c r="A180" s="254" t="s">
        <v>620</v>
      </c>
      <c r="B180" s="147" t="s">
        <v>621</v>
      </c>
      <c r="C180" s="283">
        <v>0</v>
      </c>
      <c r="D180" s="283">
        <v>0</v>
      </c>
      <c r="E180" s="283"/>
      <c r="F180" s="249"/>
      <c r="G180" s="250" t="e">
        <f t="shared" si="9"/>
        <v>#DIV/0!</v>
      </c>
    </row>
    <row r="181" spans="1:7" s="180" customFormat="1" ht="24">
      <c r="A181" s="519" t="s">
        <v>969</v>
      </c>
      <c r="B181" s="148" t="s">
        <v>971</v>
      </c>
      <c r="C181" s="282">
        <f>C182</f>
        <v>0</v>
      </c>
      <c r="D181" s="282">
        <f>D182</f>
        <v>6652.8</v>
      </c>
      <c r="E181" s="283">
        <f>E182</f>
        <v>6652.8</v>
      </c>
      <c r="F181" s="249"/>
      <c r="G181" s="250">
        <f t="shared" si="9"/>
        <v>100</v>
      </c>
    </row>
    <row r="182" spans="1:7" s="180" customFormat="1" ht="36">
      <c r="A182" s="520" t="s">
        <v>970</v>
      </c>
      <c r="B182" s="521" t="s">
        <v>972</v>
      </c>
      <c r="C182" s="283">
        <v>0</v>
      </c>
      <c r="D182" s="283">
        <v>6652.8</v>
      </c>
      <c r="E182" s="283">
        <v>6652.8</v>
      </c>
      <c r="F182" s="249"/>
      <c r="G182" s="250">
        <f t="shared" si="9"/>
        <v>100</v>
      </c>
    </row>
    <row r="183" spans="1:7" ht="13.5">
      <c r="A183" s="254" t="s">
        <v>622</v>
      </c>
      <c r="B183" s="147" t="s">
        <v>846</v>
      </c>
      <c r="C183" s="282">
        <f>C184</f>
        <v>365</v>
      </c>
      <c r="D183" s="282">
        <f>D184</f>
        <v>95224.2</v>
      </c>
      <c r="E183" s="282">
        <f>E184</f>
        <v>76976.3</v>
      </c>
      <c r="F183" s="249">
        <f t="shared" si="10"/>
        <v>21089.397260273974</v>
      </c>
      <c r="G183" s="250">
        <f t="shared" si="9"/>
        <v>80.83690910503843</v>
      </c>
    </row>
    <row r="184" spans="1:7" ht="36" customHeight="1">
      <c r="A184" s="254" t="s">
        <v>769</v>
      </c>
      <c r="B184" s="147" t="s">
        <v>770</v>
      </c>
      <c r="C184" s="258">
        <v>365</v>
      </c>
      <c r="D184" s="258">
        <v>95224.2</v>
      </c>
      <c r="E184" s="283">
        <v>76976.3</v>
      </c>
      <c r="F184" s="249">
        <f t="shared" si="10"/>
        <v>21089.397260273974</v>
      </c>
      <c r="G184" s="250">
        <f t="shared" si="9"/>
        <v>80.83690910503843</v>
      </c>
    </row>
    <row r="185" spans="1:7" ht="13.5">
      <c r="A185" s="254" t="s">
        <v>771</v>
      </c>
      <c r="B185" s="147" t="s">
        <v>772</v>
      </c>
      <c r="C185" s="282">
        <f>C190+C192+C194+C196+C198+C200+C212+C186+C202+C204+C188+C206+C208+C210</f>
        <v>1559515</v>
      </c>
      <c r="D185" s="282">
        <f>D190+D192+D194+D196+D198+D200+D212+D186+D202+D204+D188+D206+D208+D210</f>
        <v>1612819.2</v>
      </c>
      <c r="E185" s="282">
        <f>E190+E192+E194+E196+E198+E200+E212+E186+E202+E204+E188+E206+E208+E210</f>
        <v>1583746.2</v>
      </c>
      <c r="F185" s="249">
        <f t="shared" si="10"/>
        <v>101.55376511287162</v>
      </c>
      <c r="G185" s="250">
        <f t="shared" si="9"/>
        <v>98.19738009071321</v>
      </c>
    </row>
    <row r="186" spans="1:7" ht="24" hidden="1">
      <c r="A186" s="254" t="s">
        <v>773</v>
      </c>
      <c r="B186" s="147" t="s">
        <v>774</v>
      </c>
      <c r="C186" s="282">
        <f>C187</f>
        <v>0</v>
      </c>
      <c r="D186" s="282">
        <f>D187</f>
        <v>0</v>
      </c>
      <c r="E186" s="282">
        <f>E187</f>
        <v>0</v>
      </c>
      <c r="F186" s="249" t="e">
        <f t="shared" si="10"/>
        <v>#DIV/0!</v>
      </c>
      <c r="G186" s="250" t="e">
        <f t="shared" si="9"/>
        <v>#DIV/0!</v>
      </c>
    </row>
    <row r="187" spans="1:7" ht="24" hidden="1">
      <c r="A187" s="254" t="s">
        <v>775</v>
      </c>
      <c r="B187" s="147" t="s">
        <v>776</v>
      </c>
      <c r="C187" s="283">
        <v>0</v>
      </c>
      <c r="D187" s="283">
        <v>0</v>
      </c>
      <c r="E187" s="283">
        <v>0</v>
      </c>
      <c r="F187" s="249" t="e">
        <f t="shared" si="10"/>
        <v>#DIV/0!</v>
      </c>
      <c r="G187" s="250" t="e">
        <f t="shared" si="9"/>
        <v>#DIV/0!</v>
      </c>
    </row>
    <row r="188" spans="1:7" s="180" customFormat="1" ht="26.25" customHeight="1" hidden="1">
      <c r="A188" s="254" t="s">
        <v>777</v>
      </c>
      <c r="B188" s="147" t="s">
        <v>778</v>
      </c>
      <c r="C188" s="282">
        <f>C189</f>
        <v>0</v>
      </c>
      <c r="D188" s="282">
        <f>D189</f>
        <v>0</v>
      </c>
      <c r="E188" s="282">
        <f>E189</f>
        <v>0</v>
      </c>
      <c r="F188" s="249" t="e">
        <f t="shared" si="10"/>
        <v>#DIV/0!</v>
      </c>
      <c r="G188" s="250" t="e">
        <f t="shared" si="9"/>
        <v>#DIV/0!</v>
      </c>
    </row>
    <row r="189" spans="1:7" s="180" customFormat="1" ht="36" hidden="1">
      <c r="A189" s="254" t="s">
        <v>779</v>
      </c>
      <c r="B189" s="147" t="s">
        <v>1271</v>
      </c>
      <c r="C189" s="283">
        <v>0</v>
      </c>
      <c r="D189" s="283">
        <v>0</v>
      </c>
      <c r="E189" s="283"/>
      <c r="F189" s="249" t="e">
        <f t="shared" si="10"/>
        <v>#DIV/0!</v>
      </c>
      <c r="G189" s="250" t="e">
        <f t="shared" si="9"/>
        <v>#DIV/0!</v>
      </c>
    </row>
    <row r="190" spans="1:7" ht="24">
      <c r="A190" s="254" t="s">
        <v>1272</v>
      </c>
      <c r="B190" s="147" t="s">
        <v>1273</v>
      </c>
      <c r="C190" s="282">
        <f>C191</f>
        <v>9019</v>
      </c>
      <c r="D190" s="282">
        <f>D191</f>
        <v>9019</v>
      </c>
      <c r="E190" s="282">
        <f>E191</f>
        <v>7611</v>
      </c>
      <c r="F190" s="249">
        <f t="shared" si="10"/>
        <v>84.38851313892893</v>
      </c>
      <c r="G190" s="250">
        <f t="shared" si="9"/>
        <v>84.38851313892893</v>
      </c>
    </row>
    <row r="191" spans="1:7" ht="24">
      <c r="A191" s="254" t="s">
        <v>1274</v>
      </c>
      <c r="B191" s="147" t="s">
        <v>1275</v>
      </c>
      <c r="C191" s="258">
        <v>9019</v>
      </c>
      <c r="D191" s="258">
        <v>9019</v>
      </c>
      <c r="E191" s="283">
        <v>7611</v>
      </c>
      <c r="F191" s="249">
        <f t="shared" si="10"/>
        <v>84.38851313892893</v>
      </c>
      <c r="G191" s="250">
        <f t="shared" si="9"/>
        <v>84.38851313892893</v>
      </c>
    </row>
    <row r="192" spans="1:7" s="180" customFormat="1" ht="24">
      <c r="A192" s="254" t="s">
        <v>1276</v>
      </c>
      <c r="B192" s="147" t="s">
        <v>1277</v>
      </c>
      <c r="C192" s="282">
        <f>C193</f>
        <v>29891</v>
      </c>
      <c r="D192" s="282">
        <f>D193</f>
        <v>33291</v>
      </c>
      <c r="E192" s="282">
        <f>E193</f>
        <v>30503.5</v>
      </c>
      <c r="F192" s="249">
        <f t="shared" si="10"/>
        <v>102.04911177277441</v>
      </c>
      <c r="G192" s="250">
        <f t="shared" si="9"/>
        <v>91.62686611997236</v>
      </c>
    </row>
    <row r="193" spans="1:7" s="180" customFormat="1" ht="24">
      <c r="A193" s="254" t="s">
        <v>1278</v>
      </c>
      <c r="B193" s="147" t="s">
        <v>1279</v>
      </c>
      <c r="C193" s="258">
        <v>29891</v>
      </c>
      <c r="D193" s="258">
        <v>33291</v>
      </c>
      <c r="E193" s="258">
        <v>30503.5</v>
      </c>
      <c r="F193" s="249">
        <f t="shared" si="10"/>
        <v>102.04911177277441</v>
      </c>
      <c r="G193" s="250">
        <f t="shared" si="9"/>
        <v>91.62686611997236</v>
      </c>
    </row>
    <row r="194" spans="1:7" ht="24">
      <c r="A194" s="254" t="s">
        <v>1280</v>
      </c>
      <c r="B194" s="147" t="s">
        <v>1281</v>
      </c>
      <c r="C194" s="282">
        <f>C195</f>
        <v>136482</v>
      </c>
      <c r="D194" s="282">
        <f>D195</f>
        <v>132583</v>
      </c>
      <c r="E194" s="282">
        <f>E195</f>
        <v>128208</v>
      </c>
      <c r="F194" s="249">
        <f t="shared" si="10"/>
        <v>93.93766210928914</v>
      </c>
      <c r="G194" s="250">
        <f t="shared" si="9"/>
        <v>96.70018026443813</v>
      </c>
    </row>
    <row r="195" spans="1:7" ht="24">
      <c r="A195" s="254" t="s">
        <v>1282</v>
      </c>
      <c r="B195" s="147" t="s">
        <v>1283</v>
      </c>
      <c r="C195" s="258">
        <v>136482</v>
      </c>
      <c r="D195" s="258">
        <v>132583</v>
      </c>
      <c r="E195" s="258">
        <v>128208</v>
      </c>
      <c r="F195" s="249">
        <f t="shared" si="10"/>
        <v>93.93766210928914</v>
      </c>
      <c r="G195" s="250">
        <f t="shared" si="9"/>
        <v>96.70018026443813</v>
      </c>
    </row>
    <row r="196" spans="1:7" ht="48" hidden="1">
      <c r="A196" s="254" t="s">
        <v>1284</v>
      </c>
      <c r="B196" s="147" t="s">
        <v>1099</v>
      </c>
      <c r="C196" s="282">
        <f>C197</f>
        <v>0</v>
      </c>
      <c r="D196" s="282">
        <f>D197</f>
        <v>0</v>
      </c>
      <c r="E196" s="282">
        <f>E197</f>
        <v>0</v>
      </c>
      <c r="F196" s="249" t="e">
        <f t="shared" si="10"/>
        <v>#DIV/0!</v>
      </c>
      <c r="G196" s="250" t="e">
        <f t="shared" si="9"/>
        <v>#DIV/0!</v>
      </c>
    </row>
    <row r="197" spans="1:7" ht="48" hidden="1">
      <c r="A197" s="254" t="s">
        <v>1100</v>
      </c>
      <c r="B197" s="147" t="s">
        <v>944</v>
      </c>
      <c r="C197" s="283">
        <v>0</v>
      </c>
      <c r="D197" s="283">
        <v>0</v>
      </c>
      <c r="E197" s="283"/>
      <c r="F197" s="249" t="e">
        <f t="shared" si="10"/>
        <v>#DIV/0!</v>
      </c>
      <c r="G197" s="250" t="e">
        <f t="shared" si="9"/>
        <v>#DIV/0!</v>
      </c>
    </row>
    <row r="198" spans="1:7" ht="48">
      <c r="A198" s="254" t="s">
        <v>945</v>
      </c>
      <c r="B198" s="147" t="s">
        <v>946</v>
      </c>
      <c r="C198" s="282">
        <f>C199</f>
        <v>0</v>
      </c>
      <c r="D198" s="282">
        <f>D199</f>
        <v>35862</v>
      </c>
      <c r="E198" s="282">
        <f>E199</f>
        <v>25745</v>
      </c>
      <c r="F198" s="249"/>
      <c r="G198" s="250">
        <f t="shared" si="9"/>
        <v>71.78908036361608</v>
      </c>
    </row>
    <row r="199" spans="1:7" ht="48">
      <c r="A199" s="254" t="s">
        <v>947</v>
      </c>
      <c r="B199" s="147" t="s">
        <v>1109</v>
      </c>
      <c r="C199" s="258">
        <v>0</v>
      </c>
      <c r="D199" s="258">
        <v>35862</v>
      </c>
      <c r="E199" s="258">
        <v>25745</v>
      </c>
      <c r="F199" s="249"/>
      <c r="G199" s="250">
        <f t="shared" si="9"/>
        <v>71.78908036361608</v>
      </c>
    </row>
    <row r="200" spans="1:7" ht="36" hidden="1">
      <c r="A200" s="254" t="s">
        <v>1110</v>
      </c>
      <c r="B200" s="147" t="s">
        <v>1111</v>
      </c>
      <c r="C200" s="282">
        <f>C201</f>
        <v>0</v>
      </c>
      <c r="D200" s="282">
        <f>D201</f>
        <v>0</v>
      </c>
      <c r="E200" s="282">
        <f>E201</f>
        <v>0</v>
      </c>
      <c r="F200" s="249" t="e">
        <f t="shared" si="10"/>
        <v>#DIV/0!</v>
      </c>
      <c r="G200" s="250" t="e">
        <f t="shared" si="9"/>
        <v>#DIV/0!</v>
      </c>
    </row>
    <row r="201" spans="1:7" ht="36" hidden="1">
      <c r="A201" s="254" t="s">
        <v>1112</v>
      </c>
      <c r="B201" s="147" t="s">
        <v>1113</v>
      </c>
      <c r="C201" s="283">
        <v>0</v>
      </c>
      <c r="D201" s="283">
        <v>0</v>
      </c>
      <c r="E201" s="283"/>
      <c r="F201" s="249" t="e">
        <f t="shared" si="10"/>
        <v>#DIV/0!</v>
      </c>
      <c r="G201" s="250" t="e">
        <f t="shared" si="9"/>
        <v>#DIV/0!</v>
      </c>
    </row>
    <row r="202" spans="1:7" ht="60" hidden="1">
      <c r="A202" s="254" t="s">
        <v>1114</v>
      </c>
      <c r="B202" s="147" t="s">
        <v>1115</v>
      </c>
      <c r="C202" s="282">
        <f>C203</f>
        <v>0</v>
      </c>
      <c r="D202" s="282">
        <f>D203</f>
        <v>0</v>
      </c>
      <c r="E202" s="282">
        <f>E203</f>
        <v>0</v>
      </c>
      <c r="F202" s="249"/>
      <c r="G202" s="250" t="e">
        <f t="shared" si="9"/>
        <v>#DIV/0!</v>
      </c>
    </row>
    <row r="203" spans="1:7" ht="60" hidden="1">
      <c r="A203" s="254" t="s">
        <v>1116</v>
      </c>
      <c r="B203" s="147" t="s">
        <v>1269</v>
      </c>
      <c r="C203" s="283"/>
      <c r="D203" s="283">
        <v>0</v>
      </c>
      <c r="E203" s="283">
        <v>0</v>
      </c>
      <c r="F203" s="249"/>
      <c r="G203" s="250" t="e">
        <f t="shared" si="9"/>
        <v>#DIV/0!</v>
      </c>
    </row>
    <row r="204" spans="1:7" ht="48">
      <c r="A204" s="254" t="s">
        <v>1070</v>
      </c>
      <c r="B204" s="147" t="s">
        <v>1071</v>
      </c>
      <c r="C204" s="282">
        <f>C205</f>
        <v>0</v>
      </c>
      <c r="D204" s="282">
        <f>D205</f>
        <v>3688.2</v>
      </c>
      <c r="E204" s="282">
        <f>E205</f>
        <v>1844.1</v>
      </c>
      <c r="F204" s="249"/>
      <c r="G204" s="250">
        <f t="shared" si="9"/>
        <v>50</v>
      </c>
    </row>
    <row r="205" spans="1:7" ht="48">
      <c r="A205" s="254" t="s">
        <v>1072</v>
      </c>
      <c r="B205" s="147" t="s">
        <v>408</v>
      </c>
      <c r="C205" s="283"/>
      <c r="D205" s="283">
        <v>3688.2</v>
      </c>
      <c r="E205" s="283">
        <v>1844.1</v>
      </c>
      <c r="F205" s="249"/>
      <c r="G205" s="250">
        <f t="shared" si="9"/>
        <v>50</v>
      </c>
    </row>
    <row r="206" spans="1:7" ht="24" hidden="1">
      <c r="A206" s="254" t="s">
        <v>698</v>
      </c>
      <c r="B206" s="147" t="s">
        <v>699</v>
      </c>
      <c r="C206" s="282">
        <f>C207</f>
        <v>0</v>
      </c>
      <c r="D206" s="282">
        <f>D207</f>
        <v>0</v>
      </c>
      <c r="E206" s="282">
        <f>E207</f>
        <v>0</v>
      </c>
      <c r="F206" s="249" t="e">
        <f t="shared" si="10"/>
        <v>#DIV/0!</v>
      </c>
      <c r="G206" s="250" t="e">
        <f t="shared" si="9"/>
        <v>#DIV/0!</v>
      </c>
    </row>
    <row r="207" spans="1:7" ht="24" hidden="1">
      <c r="A207" s="254" t="s">
        <v>700</v>
      </c>
      <c r="B207" s="147" t="s">
        <v>701</v>
      </c>
      <c r="C207" s="283">
        <v>0</v>
      </c>
      <c r="D207" s="283">
        <v>0</v>
      </c>
      <c r="E207" s="283"/>
      <c r="F207" s="249" t="e">
        <f t="shared" si="10"/>
        <v>#DIV/0!</v>
      </c>
      <c r="G207" s="250" t="e">
        <f t="shared" si="9"/>
        <v>#DIV/0!</v>
      </c>
    </row>
    <row r="208" spans="1:7" ht="13.5" hidden="1">
      <c r="A208" s="254" t="s">
        <v>456</v>
      </c>
      <c r="B208" s="147" t="s">
        <v>457</v>
      </c>
      <c r="C208" s="282">
        <f>C209</f>
        <v>0</v>
      </c>
      <c r="D208" s="282">
        <f>D209</f>
        <v>0</v>
      </c>
      <c r="E208" s="282">
        <f>E209</f>
        <v>0</v>
      </c>
      <c r="F208" s="249"/>
      <c r="G208" s="250" t="e">
        <f t="shared" si="9"/>
        <v>#DIV/0!</v>
      </c>
    </row>
    <row r="209" spans="1:7" ht="24" hidden="1">
      <c r="A209" s="254" t="s">
        <v>458</v>
      </c>
      <c r="B209" s="147" t="s">
        <v>459</v>
      </c>
      <c r="C209" s="283">
        <v>0</v>
      </c>
      <c r="D209" s="283">
        <v>0</v>
      </c>
      <c r="E209" s="283">
        <v>0</v>
      </c>
      <c r="F209" s="249"/>
      <c r="G209" s="250" t="e">
        <f t="shared" si="9"/>
        <v>#DIV/0!</v>
      </c>
    </row>
    <row r="210" spans="1:7" ht="36">
      <c r="A210" s="254" t="s">
        <v>307</v>
      </c>
      <c r="B210" s="147" t="s">
        <v>1403</v>
      </c>
      <c r="C210" s="282">
        <f>C211</f>
        <v>29471</v>
      </c>
      <c r="D210" s="282">
        <f>D211</f>
        <v>28167</v>
      </c>
      <c r="E210" s="282">
        <f>E211</f>
        <v>28166.9</v>
      </c>
      <c r="F210" s="249"/>
      <c r="G210" s="250">
        <f aca="true" t="shared" si="13" ref="G210:G232">E210/D210*100</f>
        <v>99.99964497461569</v>
      </c>
    </row>
    <row r="211" spans="1:7" ht="36">
      <c r="A211" s="254" t="s">
        <v>308</v>
      </c>
      <c r="B211" s="147" t="s">
        <v>1402</v>
      </c>
      <c r="C211" s="283">
        <v>29471</v>
      </c>
      <c r="D211" s="283">
        <v>28167</v>
      </c>
      <c r="E211" s="283">
        <v>28166.9</v>
      </c>
      <c r="F211" s="249"/>
      <c r="G211" s="250">
        <f t="shared" si="13"/>
        <v>99.99964497461569</v>
      </c>
    </row>
    <row r="212" spans="1:7" ht="13.5">
      <c r="A212" s="254" t="s">
        <v>409</v>
      </c>
      <c r="B212" s="150" t="s">
        <v>410</v>
      </c>
      <c r="C212" s="282">
        <f>C213</f>
        <v>1354652</v>
      </c>
      <c r="D212" s="282">
        <f>D213</f>
        <v>1370209</v>
      </c>
      <c r="E212" s="282">
        <f>E213</f>
        <v>1361667.7</v>
      </c>
      <c r="F212" s="249">
        <f>E212/C212*100</f>
        <v>100.51789684730838</v>
      </c>
      <c r="G212" s="250">
        <f t="shared" si="13"/>
        <v>99.37664254139331</v>
      </c>
    </row>
    <row r="213" spans="1:7" ht="13.5">
      <c r="A213" s="254" t="s">
        <v>411</v>
      </c>
      <c r="B213" s="147" t="s">
        <v>412</v>
      </c>
      <c r="C213" s="258">
        <v>1354652</v>
      </c>
      <c r="D213" s="258">
        <v>1370209</v>
      </c>
      <c r="E213" s="258">
        <v>1361667.7</v>
      </c>
      <c r="F213" s="249">
        <f>E213/C213*100</f>
        <v>100.51789684730838</v>
      </c>
      <c r="G213" s="250">
        <f t="shared" si="13"/>
        <v>99.37664254139331</v>
      </c>
    </row>
    <row r="214" spans="1:7" ht="13.5">
      <c r="A214" s="254" t="s">
        <v>413</v>
      </c>
      <c r="B214" s="150" t="s">
        <v>414</v>
      </c>
      <c r="C214" s="282">
        <f>C215+C217+C219+C223+C221</f>
        <v>0</v>
      </c>
      <c r="D214" s="282">
        <f>D215+D217+D219+D223+D221</f>
        <v>15357</v>
      </c>
      <c r="E214" s="282">
        <f>E215+E217+E219+E223+E221</f>
        <v>14669.900000000001</v>
      </c>
      <c r="F214" s="249"/>
      <c r="G214" s="250">
        <f t="shared" si="13"/>
        <v>95.52581884482647</v>
      </c>
    </row>
    <row r="215" spans="1:7" ht="48" hidden="1">
      <c r="A215" s="254" t="s">
        <v>415</v>
      </c>
      <c r="B215" s="150" t="s">
        <v>248</v>
      </c>
      <c r="C215" s="282">
        <f aca="true" t="shared" si="14" ref="C215:E219">C216</f>
        <v>0</v>
      </c>
      <c r="D215" s="282">
        <f t="shared" si="14"/>
        <v>0</v>
      </c>
      <c r="E215" s="282">
        <f t="shared" si="14"/>
        <v>0</v>
      </c>
      <c r="F215" s="249" t="e">
        <f>E215/C215*100</f>
        <v>#DIV/0!</v>
      </c>
      <c r="G215" s="250" t="e">
        <f t="shared" si="13"/>
        <v>#DIV/0!</v>
      </c>
    </row>
    <row r="216" spans="1:7" ht="48" hidden="1">
      <c r="A216" s="254" t="s">
        <v>249</v>
      </c>
      <c r="B216" s="150" t="s">
        <v>250</v>
      </c>
      <c r="C216" s="283">
        <v>0</v>
      </c>
      <c r="D216" s="283">
        <v>0</v>
      </c>
      <c r="E216" s="283">
        <v>0</v>
      </c>
      <c r="F216" s="249" t="e">
        <f>E216/C216*100</f>
        <v>#DIV/0!</v>
      </c>
      <c r="G216" s="250" t="e">
        <f t="shared" si="13"/>
        <v>#DIV/0!</v>
      </c>
    </row>
    <row r="217" spans="1:7" ht="36">
      <c r="A217" s="254" t="s">
        <v>702</v>
      </c>
      <c r="B217" s="150" t="s">
        <v>703</v>
      </c>
      <c r="C217" s="282">
        <f t="shared" si="14"/>
        <v>0</v>
      </c>
      <c r="D217" s="282">
        <f t="shared" si="14"/>
        <v>10681</v>
      </c>
      <c r="E217" s="282">
        <f t="shared" si="14"/>
        <v>10548.6</v>
      </c>
      <c r="F217" s="249"/>
      <c r="G217" s="250">
        <f t="shared" si="13"/>
        <v>98.76041569141466</v>
      </c>
    </row>
    <row r="218" spans="1:7" ht="36">
      <c r="A218" s="254" t="s">
        <v>704</v>
      </c>
      <c r="B218" s="150" t="s">
        <v>705</v>
      </c>
      <c r="C218" s="283">
        <v>0</v>
      </c>
      <c r="D218" s="283">
        <v>10681</v>
      </c>
      <c r="E218" s="283">
        <v>10548.6</v>
      </c>
      <c r="F218" s="249"/>
      <c r="G218" s="250">
        <f t="shared" si="13"/>
        <v>98.76041569141466</v>
      </c>
    </row>
    <row r="219" spans="1:7" ht="24" hidden="1">
      <c r="A219" s="254" t="s">
        <v>251</v>
      </c>
      <c r="B219" s="150" t="s">
        <v>999</v>
      </c>
      <c r="C219" s="282">
        <f t="shared" si="14"/>
        <v>0</v>
      </c>
      <c r="D219" s="282">
        <f t="shared" si="14"/>
        <v>0</v>
      </c>
      <c r="E219" s="282">
        <f t="shared" si="14"/>
        <v>0</v>
      </c>
      <c r="F219" s="249" t="e">
        <f>E219/C219*100</f>
        <v>#DIV/0!</v>
      </c>
      <c r="G219" s="250" t="e">
        <f t="shared" si="13"/>
        <v>#DIV/0!</v>
      </c>
    </row>
    <row r="220" spans="1:7" ht="24" hidden="1">
      <c r="A220" s="254" t="s">
        <v>1000</v>
      </c>
      <c r="B220" s="150" t="s">
        <v>1001</v>
      </c>
      <c r="C220" s="283">
        <v>0</v>
      </c>
      <c r="D220" s="283">
        <v>0</v>
      </c>
      <c r="E220" s="285"/>
      <c r="F220" s="249" t="e">
        <f>E220/C220*100</f>
        <v>#DIV/0!</v>
      </c>
      <c r="G220" s="250" t="e">
        <f t="shared" si="13"/>
        <v>#DIV/0!</v>
      </c>
    </row>
    <row r="221" spans="1:7" ht="36.75" customHeight="1">
      <c r="A221" s="495" t="s">
        <v>973</v>
      </c>
      <c r="B221" s="496" t="s">
        <v>975</v>
      </c>
      <c r="C221" s="282">
        <f>C222</f>
        <v>0</v>
      </c>
      <c r="D221" s="282">
        <f>D222</f>
        <v>4676</v>
      </c>
      <c r="E221" s="282">
        <f>E222</f>
        <v>4121.3</v>
      </c>
      <c r="F221" s="249"/>
      <c r="G221" s="250">
        <f t="shared" si="13"/>
        <v>88.13729683490162</v>
      </c>
    </row>
    <row r="222" spans="1:7" ht="37.5" customHeight="1">
      <c r="A222" s="495" t="s">
        <v>974</v>
      </c>
      <c r="B222" s="496" t="s">
        <v>976</v>
      </c>
      <c r="C222" s="283">
        <v>0</v>
      </c>
      <c r="D222" s="283">
        <v>4676</v>
      </c>
      <c r="E222" s="283">
        <v>4121.3</v>
      </c>
      <c r="F222" s="249"/>
      <c r="G222" s="250">
        <f t="shared" si="13"/>
        <v>88.13729683490162</v>
      </c>
    </row>
    <row r="223" spans="1:7" ht="13.5" hidden="1">
      <c r="A223" s="254" t="s">
        <v>706</v>
      </c>
      <c r="B223" s="150" t="s">
        <v>707</v>
      </c>
      <c r="C223" s="282">
        <f>C224</f>
        <v>0</v>
      </c>
      <c r="D223" s="282">
        <f>D224</f>
        <v>0</v>
      </c>
      <c r="E223" s="282">
        <f>E224</f>
        <v>0</v>
      </c>
      <c r="F223" s="249" t="e">
        <f>E223/C223*100</f>
        <v>#DIV/0!</v>
      </c>
      <c r="G223" s="250" t="e">
        <f t="shared" si="13"/>
        <v>#DIV/0!</v>
      </c>
    </row>
    <row r="224" spans="1:7" ht="13.5" hidden="1">
      <c r="A224" s="254" t="s">
        <v>708</v>
      </c>
      <c r="B224" s="150" t="s">
        <v>709</v>
      </c>
      <c r="C224" s="283">
        <v>0</v>
      </c>
      <c r="D224" s="283">
        <v>0</v>
      </c>
      <c r="E224" s="283">
        <v>0</v>
      </c>
      <c r="F224" s="249" t="e">
        <f>E224/C224*100</f>
        <v>#DIV/0!</v>
      </c>
      <c r="G224" s="250" t="e">
        <f t="shared" si="13"/>
        <v>#DIV/0!</v>
      </c>
    </row>
    <row r="225" spans="1:7" ht="13.5">
      <c r="A225" s="522" t="s">
        <v>1002</v>
      </c>
      <c r="B225" s="147" t="s">
        <v>1003</v>
      </c>
      <c r="C225" s="282">
        <f>C228+C229</f>
        <v>0</v>
      </c>
      <c r="D225" s="282">
        <f>D226</f>
        <v>3490.8999999999996</v>
      </c>
      <c r="E225" s="282">
        <f>E226</f>
        <v>3490.8999999999996</v>
      </c>
      <c r="F225" s="249"/>
      <c r="G225" s="250">
        <f t="shared" si="13"/>
        <v>100</v>
      </c>
    </row>
    <row r="226" spans="1:7" ht="13.5">
      <c r="A226" s="523" t="s">
        <v>977</v>
      </c>
      <c r="B226" s="518" t="s">
        <v>979</v>
      </c>
      <c r="C226" s="282"/>
      <c r="D226" s="282">
        <f>D227+D228+D229</f>
        <v>3490.8999999999996</v>
      </c>
      <c r="E226" s="282">
        <f>E227+E228+E229</f>
        <v>3490.8999999999996</v>
      </c>
      <c r="F226" s="249"/>
      <c r="G226" s="250">
        <f t="shared" si="13"/>
        <v>100</v>
      </c>
    </row>
    <row r="227" spans="1:7" ht="48">
      <c r="A227" s="524" t="s">
        <v>978</v>
      </c>
      <c r="B227" s="525" t="s">
        <v>980</v>
      </c>
      <c r="C227" s="282"/>
      <c r="D227" s="283">
        <v>750</v>
      </c>
      <c r="E227" s="282">
        <v>750</v>
      </c>
      <c r="F227" s="249"/>
      <c r="G227" s="250">
        <f t="shared" si="13"/>
        <v>100</v>
      </c>
    </row>
    <row r="228" spans="1:7" ht="24">
      <c r="A228" s="254" t="s">
        <v>309</v>
      </c>
      <c r="B228" s="150" t="s">
        <v>310</v>
      </c>
      <c r="C228" s="283"/>
      <c r="D228" s="283">
        <v>502.8</v>
      </c>
      <c r="E228" s="286">
        <v>502.8</v>
      </c>
      <c r="F228" s="249"/>
      <c r="G228" s="250">
        <f t="shared" si="13"/>
        <v>100</v>
      </c>
    </row>
    <row r="229" spans="1:7" ht="13.5">
      <c r="A229" s="254" t="s">
        <v>311</v>
      </c>
      <c r="B229" s="150" t="s">
        <v>312</v>
      </c>
      <c r="C229" s="283"/>
      <c r="D229" s="283">
        <v>2238.1</v>
      </c>
      <c r="E229" s="287">
        <v>2238.1</v>
      </c>
      <c r="F229" s="249"/>
      <c r="G229" s="250">
        <f t="shared" si="13"/>
        <v>100</v>
      </c>
    </row>
    <row r="230" spans="1:7" ht="36">
      <c r="A230" s="254" t="s">
        <v>1004</v>
      </c>
      <c r="B230" s="147" t="s">
        <v>1332</v>
      </c>
      <c r="C230" s="288">
        <f>C231</f>
        <v>0</v>
      </c>
      <c r="D230" s="288">
        <f>D231</f>
        <v>-65689.1</v>
      </c>
      <c r="E230" s="288">
        <f>E231</f>
        <v>-65694.3</v>
      </c>
      <c r="F230" s="249"/>
      <c r="G230" s="250">
        <f t="shared" si="13"/>
        <v>100.00791607740096</v>
      </c>
    </row>
    <row r="231" spans="1:7" ht="24">
      <c r="A231" s="254" t="s">
        <v>1005</v>
      </c>
      <c r="B231" s="147" t="s">
        <v>786</v>
      </c>
      <c r="C231" s="258">
        <v>0</v>
      </c>
      <c r="D231" s="258">
        <v>-65689.1</v>
      </c>
      <c r="E231" s="258">
        <v>-65694.3</v>
      </c>
      <c r="F231" s="249"/>
      <c r="G231" s="250">
        <f t="shared" si="13"/>
        <v>100.00791607740096</v>
      </c>
    </row>
    <row r="232" spans="1:7" ht="13.5">
      <c r="A232" s="275" t="s">
        <v>486</v>
      </c>
      <c r="B232" s="289" t="s">
        <v>487</v>
      </c>
      <c r="C232" s="281">
        <f>C12+C160</f>
        <v>4097620.3</v>
      </c>
      <c r="D232" s="281">
        <f>D12+D160</f>
        <v>4771519</v>
      </c>
      <c r="E232" s="281">
        <f>E12+E160</f>
        <v>4962504.5</v>
      </c>
      <c r="F232" s="249">
        <f>E232/C232*100</f>
        <v>121.1069873897296</v>
      </c>
      <c r="G232" s="250">
        <f t="shared" si="13"/>
        <v>104.00261426183151</v>
      </c>
    </row>
    <row r="233" ht="13.5">
      <c r="G233" s="290"/>
    </row>
  </sheetData>
  <sheetProtection/>
  <mergeCells count="3">
    <mergeCell ref="A5:G5"/>
    <mergeCell ref="A6:G6"/>
    <mergeCell ref="A7:G7"/>
  </mergeCells>
  <dataValidations count="1">
    <dataValidation allowBlank="1" promptTitle="Расчетное значение" prompt="Считается автоматически" sqref="D122:E122 D79 D19:D48 D52:E52 D58:E58 D65:E66 D49:E50 D73:E73 D54:E55 D68:E68 D51 D53 D56 D59:D60 D67 D64 D70:E71 D156:E158 D139:D144 D145:E145 E137 D150 D155 D135:D137 E141:E142 C134:C232 D118:E119 D154:E154 D127:E127 E121 D146:D148 D149:E149 D129:E129 D123:D126 D151:E152 E114 E101 D102:E103 D107:D110 D83:E85 D81:D82 D80:E80 D77:E78 D75:D76 E75 E82 E107 D94 E46 D111:E112 D92:E93 E109 D105:E105 D62:E63 D113:D114 D115:E115 E12:E16 D91 D87:E90 E41 D12:D17 E43:E44 D95:E96 E39 D120:D121 C131:E133 D159:D232 E27:E36 C12:C130 E21:E22 D97:D101 E160:E232"/>
  </dataValidations>
  <printOptions horizontalCentered="1"/>
  <pageMargins left="0.4330708661417323" right="0.1968503937007874" top="0.8661417322834646" bottom="0.8267716535433072" header="0.7480314960629921" footer="0.62"/>
  <pageSetup horizontalDpi="600" verticalDpi="600" orientation="landscape" paperSize="9" scale="99"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5"/>
  <sheetViews>
    <sheetView zoomScale="75" zoomScaleNormal="75" zoomScaleSheetLayoutView="75" zoomScalePageLayoutView="0" workbookViewId="0" topLeftCell="A1">
      <selection activeCell="I3" sqref="I3"/>
    </sheetView>
  </sheetViews>
  <sheetFormatPr defaultColWidth="9.00390625" defaultRowHeight="12.75"/>
  <cols>
    <col min="1" max="1" width="11.50390625" style="0" customWidth="1"/>
    <col min="2" max="2" width="11.25390625" style="38" customWidth="1"/>
    <col min="3" max="3" width="9.125" style="90" customWidth="1"/>
    <col min="4" max="4" width="11.75390625" style="90" customWidth="1"/>
    <col min="5" max="5" width="9.50390625" style="90" customWidth="1"/>
    <col min="6" max="6" width="10.50390625" style="90" customWidth="1"/>
    <col min="7" max="7" width="15.50390625" style="91" customWidth="1"/>
    <col min="8" max="8" width="62.75390625" style="38" customWidth="1"/>
    <col min="9" max="9" width="19.50390625" style="90" customWidth="1"/>
    <col min="10" max="10" width="17.75390625" style="92" customWidth="1"/>
  </cols>
  <sheetData>
    <row r="1" spans="3:10" ht="15">
      <c r="C1" s="38"/>
      <c r="D1" s="38"/>
      <c r="E1" s="38"/>
      <c r="F1" s="38"/>
      <c r="I1" s="358" t="s">
        <v>239</v>
      </c>
      <c r="J1" s="214"/>
    </row>
    <row r="2" spans="3:10" ht="12.75" customHeight="1">
      <c r="C2" s="38"/>
      <c r="D2" s="38"/>
      <c r="E2" s="38"/>
      <c r="F2" s="38"/>
      <c r="I2" s="358" t="s">
        <v>912</v>
      </c>
      <c r="J2" s="214"/>
    </row>
    <row r="3" spans="3:10" ht="14.25" customHeight="1">
      <c r="C3" s="38"/>
      <c r="D3" s="38"/>
      <c r="E3" s="38"/>
      <c r="F3" s="38"/>
      <c r="I3" s="360" t="s">
        <v>1494</v>
      </c>
      <c r="J3" s="214"/>
    </row>
    <row r="4" spans="2:10" ht="18" customHeight="1">
      <c r="B4"/>
      <c r="C4"/>
      <c r="D4"/>
      <c r="E4"/>
      <c r="F4"/>
      <c r="G4" s="215"/>
      <c r="H4"/>
      <c r="I4"/>
      <c r="J4"/>
    </row>
    <row r="5" spans="1:10" ht="15">
      <c r="A5" s="604" t="s">
        <v>907</v>
      </c>
      <c r="B5" s="604"/>
      <c r="C5" s="604"/>
      <c r="D5" s="604"/>
      <c r="E5" s="604"/>
      <c r="F5" s="604"/>
      <c r="G5" s="604"/>
      <c r="H5" s="604"/>
      <c r="I5" s="604"/>
      <c r="J5" s="604"/>
    </row>
    <row r="6" spans="1:10" ht="15" customHeight="1">
      <c r="A6" s="604" t="s">
        <v>908</v>
      </c>
      <c r="B6" s="604"/>
      <c r="C6" s="604"/>
      <c r="D6" s="604"/>
      <c r="E6" s="604"/>
      <c r="F6" s="604"/>
      <c r="G6" s="604"/>
      <c r="H6" s="604"/>
      <c r="I6" s="604"/>
      <c r="J6" s="604"/>
    </row>
    <row r="7" spans="1:10" ht="18" customHeight="1">
      <c r="A7" s="605" t="s">
        <v>85</v>
      </c>
      <c r="B7" s="605"/>
      <c r="C7" s="605"/>
      <c r="D7" s="605"/>
      <c r="E7" s="605"/>
      <c r="F7" s="605"/>
      <c r="G7" s="605"/>
      <c r="H7" s="605"/>
      <c r="I7" s="605"/>
      <c r="J7" s="605"/>
    </row>
    <row r="8" spans="1:10" ht="10.5" customHeight="1">
      <c r="A8" s="216"/>
      <c r="B8"/>
      <c r="C8" s="213"/>
      <c r="D8" s="213"/>
      <c r="E8" s="213"/>
      <c r="F8" s="213"/>
      <c r="G8" s="93"/>
      <c r="H8" s="213"/>
      <c r="I8" s="213"/>
      <c r="J8" s="213"/>
    </row>
    <row r="9" spans="1:10" ht="15">
      <c r="A9" s="37" t="s">
        <v>350</v>
      </c>
      <c r="C9" s="213"/>
      <c r="D9" s="213"/>
      <c r="E9" s="213"/>
      <c r="F9" s="213"/>
      <c r="G9" s="93"/>
      <c r="H9" s="213"/>
      <c r="I9" s="213"/>
      <c r="J9" s="213"/>
    </row>
    <row r="10" spans="1:10" ht="20.25" customHeight="1">
      <c r="A10" s="37" t="s">
        <v>468</v>
      </c>
      <c r="C10" s="213"/>
      <c r="D10" s="213"/>
      <c r="E10" s="213"/>
      <c r="F10" s="213"/>
      <c r="G10" s="93"/>
      <c r="H10" s="213"/>
      <c r="I10" s="213"/>
      <c r="J10" s="213"/>
    </row>
    <row r="11" spans="1:10" ht="23.25" customHeight="1">
      <c r="A11" s="611" t="s">
        <v>469</v>
      </c>
      <c r="B11" s="611" t="s">
        <v>1488</v>
      </c>
      <c r="C11" s="608" t="s">
        <v>1490</v>
      </c>
      <c r="D11" s="608" t="s">
        <v>1491</v>
      </c>
      <c r="E11" s="608" t="s">
        <v>1492</v>
      </c>
      <c r="F11" s="608" t="s">
        <v>909</v>
      </c>
      <c r="G11" s="609" t="s">
        <v>933</v>
      </c>
      <c r="H11" s="610" t="s">
        <v>112</v>
      </c>
      <c r="I11" s="610" t="s">
        <v>113</v>
      </c>
      <c r="J11" s="606" t="s">
        <v>1489</v>
      </c>
    </row>
    <row r="12" spans="1:10" ht="72.75" customHeight="1">
      <c r="A12" s="612"/>
      <c r="B12" s="613"/>
      <c r="C12" s="608"/>
      <c r="D12" s="608"/>
      <c r="E12" s="608"/>
      <c r="F12" s="608"/>
      <c r="G12" s="609"/>
      <c r="H12" s="610"/>
      <c r="I12" s="610"/>
      <c r="J12" s="607"/>
    </row>
    <row r="13" spans="1:10" ht="26.25" customHeight="1">
      <c r="A13" s="139">
        <v>7000000</v>
      </c>
      <c r="B13" s="477"/>
      <c r="C13" s="479"/>
      <c r="D13" s="479"/>
      <c r="E13" s="479"/>
      <c r="F13" s="479"/>
      <c r="G13" s="480"/>
      <c r="H13" s="481"/>
      <c r="I13" s="481"/>
      <c r="J13" s="478"/>
    </row>
    <row r="14" spans="1:10" ht="67.5" customHeight="1">
      <c r="A14" s="139"/>
      <c r="B14" s="95"/>
      <c r="C14" s="94" t="s">
        <v>1316</v>
      </c>
      <c r="D14" s="94" t="s">
        <v>657</v>
      </c>
      <c r="E14" s="94" t="s">
        <v>811</v>
      </c>
      <c r="F14" s="41" t="s">
        <v>114</v>
      </c>
      <c r="G14" s="482">
        <v>32890</v>
      </c>
      <c r="H14" s="193" t="s">
        <v>86</v>
      </c>
      <c r="I14" s="128" t="s">
        <v>681</v>
      </c>
      <c r="J14" s="127">
        <v>32890</v>
      </c>
    </row>
    <row r="15" spans="1:10" ht="27.75" customHeight="1">
      <c r="A15" s="185"/>
      <c r="B15" s="185"/>
      <c r="C15" s="39" t="s">
        <v>115</v>
      </c>
      <c r="D15" s="39" t="s">
        <v>937</v>
      </c>
      <c r="E15" s="39" t="s">
        <v>920</v>
      </c>
      <c r="F15" s="39" t="s">
        <v>920</v>
      </c>
      <c r="G15" s="130">
        <f>SUM(G14:G14)</f>
        <v>32890</v>
      </c>
      <c r="H15" s="40" t="s">
        <v>938</v>
      </c>
      <c r="I15" s="131"/>
      <c r="J15" s="130">
        <f>SUM(J14:J14)</f>
        <v>32890</v>
      </c>
    </row>
    <row r="16" spans="1:10" ht="57" customHeight="1">
      <c r="A16" s="139"/>
      <c r="B16" s="95"/>
      <c r="C16" s="94" t="s">
        <v>87</v>
      </c>
      <c r="D16" s="94" t="s">
        <v>172</v>
      </c>
      <c r="E16" s="94" t="s">
        <v>811</v>
      </c>
      <c r="F16" s="41" t="s">
        <v>114</v>
      </c>
      <c r="G16" s="127">
        <v>0</v>
      </c>
      <c r="H16" s="483" t="s">
        <v>88</v>
      </c>
      <c r="I16" s="128" t="s">
        <v>681</v>
      </c>
      <c r="J16" s="127">
        <v>50000</v>
      </c>
    </row>
    <row r="17" spans="1:10" ht="25.5" customHeight="1">
      <c r="A17" s="185"/>
      <c r="B17" s="185"/>
      <c r="C17" s="39" t="s">
        <v>89</v>
      </c>
      <c r="D17" s="39" t="s">
        <v>937</v>
      </c>
      <c r="E17" s="39" t="s">
        <v>920</v>
      </c>
      <c r="F17" s="39" t="s">
        <v>920</v>
      </c>
      <c r="G17" s="130">
        <f>SUM(G16)</f>
        <v>0</v>
      </c>
      <c r="H17" s="40" t="s">
        <v>90</v>
      </c>
      <c r="I17" s="131"/>
      <c r="J17" s="130">
        <f>SUM(J16)</f>
        <v>50000</v>
      </c>
    </row>
    <row r="18" spans="1:10" ht="57" customHeight="1">
      <c r="A18" s="187"/>
      <c r="B18" s="187"/>
      <c r="C18" s="94" t="s">
        <v>91</v>
      </c>
      <c r="D18" s="94" t="s">
        <v>1235</v>
      </c>
      <c r="E18" s="94" t="s">
        <v>1149</v>
      </c>
      <c r="F18" s="94" t="s">
        <v>92</v>
      </c>
      <c r="G18" s="127">
        <v>35000</v>
      </c>
      <c r="H18" s="484" t="s">
        <v>93</v>
      </c>
      <c r="I18" s="128" t="s">
        <v>94</v>
      </c>
      <c r="J18" s="127">
        <v>35000</v>
      </c>
    </row>
    <row r="19" spans="1:10" ht="82.5" customHeight="1">
      <c r="A19" s="187"/>
      <c r="B19" s="187"/>
      <c r="C19" s="94" t="s">
        <v>91</v>
      </c>
      <c r="D19" s="94" t="s">
        <v>1235</v>
      </c>
      <c r="E19" s="94" t="s">
        <v>1149</v>
      </c>
      <c r="F19" s="94" t="s">
        <v>92</v>
      </c>
      <c r="G19" s="127">
        <v>34821.37</v>
      </c>
      <c r="H19" s="485" t="s">
        <v>95</v>
      </c>
      <c r="I19" s="128" t="s">
        <v>94</v>
      </c>
      <c r="J19" s="127">
        <v>34821.37</v>
      </c>
    </row>
    <row r="20" spans="1:10" ht="27.75" customHeight="1">
      <c r="A20" s="185"/>
      <c r="B20" s="185"/>
      <c r="C20" s="39" t="s">
        <v>96</v>
      </c>
      <c r="D20" s="39" t="s">
        <v>937</v>
      </c>
      <c r="E20" s="39" t="s">
        <v>920</v>
      </c>
      <c r="F20" s="39" t="s">
        <v>920</v>
      </c>
      <c r="G20" s="130">
        <f>SUM(G18:G19)</f>
        <v>69821.37</v>
      </c>
      <c r="H20" s="40" t="s">
        <v>97</v>
      </c>
      <c r="I20" s="131"/>
      <c r="J20" s="130">
        <f>SUM(J18:J19)</f>
        <v>69821.37</v>
      </c>
    </row>
    <row r="21" spans="1:10" ht="69" customHeight="1">
      <c r="A21" s="187"/>
      <c r="B21" s="187"/>
      <c r="C21" s="94" t="s">
        <v>906</v>
      </c>
      <c r="D21" s="94" t="s">
        <v>39</v>
      </c>
      <c r="E21" s="94" t="s">
        <v>23</v>
      </c>
      <c r="F21" s="94" t="s">
        <v>880</v>
      </c>
      <c r="G21" s="127">
        <v>165000</v>
      </c>
      <c r="H21" s="486" t="s">
        <v>98</v>
      </c>
      <c r="I21" s="128" t="s">
        <v>681</v>
      </c>
      <c r="J21" s="127">
        <v>165000</v>
      </c>
    </row>
    <row r="22" spans="1:10" ht="63" customHeight="1">
      <c r="A22" s="187"/>
      <c r="B22" s="187"/>
      <c r="C22" s="94" t="s">
        <v>906</v>
      </c>
      <c r="D22" s="94" t="s">
        <v>41</v>
      </c>
      <c r="E22" s="94" t="s">
        <v>23</v>
      </c>
      <c r="F22" s="94" t="s">
        <v>880</v>
      </c>
      <c r="G22" s="127">
        <v>30000</v>
      </c>
      <c r="H22" s="193" t="s">
        <v>99</v>
      </c>
      <c r="I22" s="128" t="s">
        <v>681</v>
      </c>
      <c r="J22" s="127">
        <v>30000</v>
      </c>
    </row>
    <row r="23" spans="1:10" ht="54" customHeight="1">
      <c r="A23" s="187"/>
      <c r="B23" s="187"/>
      <c r="C23" s="94" t="s">
        <v>906</v>
      </c>
      <c r="D23" s="94" t="s">
        <v>41</v>
      </c>
      <c r="E23" s="94" t="s">
        <v>23</v>
      </c>
      <c r="F23" s="94" t="s">
        <v>880</v>
      </c>
      <c r="G23" s="127">
        <v>30000</v>
      </c>
      <c r="H23" s="193" t="s">
        <v>100</v>
      </c>
      <c r="I23" s="128" t="s">
        <v>681</v>
      </c>
      <c r="J23" s="127">
        <v>30000</v>
      </c>
    </row>
    <row r="24" spans="1:10" ht="57.75" customHeight="1">
      <c r="A24" s="187"/>
      <c r="B24" s="187"/>
      <c r="C24" s="94" t="s">
        <v>906</v>
      </c>
      <c r="D24" s="94" t="s">
        <v>41</v>
      </c>
      <c r="E24" s="94" t="s">
        <v>23</v>
      </c>
      <c r="F24" s="94" t="s">
        <v>880</v>
      </c>
      <c r="G24" s="127">
        <v>120000</v>
      </c>
      <c r="H24" s="193" t="s">
        <v>101</v>
      </c>
      <c r="I24" s="128" t="s">
        <v>681</v>
      </c>
      <c r="J24" s="127">
        <v>120000</v>
      </c>
    </row>
    <row r="25" spans="1:10" ht="27.75" customHeight="1">
      <c r="A25" s="129"/>
      <c r="B25" s="129"/>
      <c r="C25" s="39" t="s">
        <v>1320</v>
      </c>
      <c r="D25" s="39" t="s">
        <v>937</v>
      </c>
      <c r="E25" s="39" t="s">
        <v>920</v>
      </c>
      <c r="F25" s="134" t="s">
        <v>920</v>
      </c>
      <c r="G25" s="130">
        <f>SUM(G21:G24)</f>
        <v>345000</v>
      </c>
      <c r="H25" s="40" t="s">
        <v>939</v>
      </c>
      <c r="I25" s="131"/>
      <c r="J25" s="130">
        <f>SUM(J21:J24)</f>
        <v>345000</v>
      </c>
    </row>
    <row r="26" spans="1:10" ht="27" customHeight="1">
      <c r="A26" s="188">
        <v>7000000</v>
      </c>
      <c r="B26" s="188"/>
      <c r="C26" s="217"/>
      <c r="D26" s="217"/>
      <c r="E26" s="217"/>
      <c r="F26" s="217"/>
      <c r="G26" s="191">
        <f>G15+G20+G25</f>
        <v>447711.37</v>
      </c>
      <c r="H26" s="602" t="s">
        <v>1117</v>
      </c>
      <c r="I26" s="603"/>
      <c r="J26" s="191">
        <f>J15+J20+J25+J17</f>
        <v>497711.37</v>
      </c>
    </row>
    <row r="27" spans="1:10" ht="54.75" customHeight="1">
      <c r="A27" s="139"/>
      <c r="B27" s="95"/>
      <c r="C27" s="94" t="s">
        <v>1316</v>
      </c>
      <c r="D27" s="94" t="s">
        <v>657</v>
      </c>
      <c r="E27" s="94" t="s">
        <v>555</v>
      </c>
      <c r="F27" s="41" t="s">
        <v>878</v>
      </c>
      <c r="G27" s="482">
        <v>0</v>
      </c>
      <c r="H27" s="193" t="s">
        <v>102</v>
      </c>
      <c r="I27" s="128" t="s">
        <v>681</v>
      </c>
      <c r="J27" s="127">
        <v>90000</v>
      </c>
    </row>
    <row r="28" spans="1:10" ht="25.5" customHeight="1">
      <c r="A28" s="185"/>
      <c r="B28" s="185"/>
      <c r="C28" s="39" t="s">
        <v>115</v>
      </c>
      <c r="D28" s="39" t="s">
        <v>937</v>
      </c>
      <c r="E28" s="39" t="s">
        <v>920</v>
      </c>
      <c r="F28" s="39" t="s">
        <v>920</v>
      </c>
      <c r="G28" s="130">
        <f>SUM(G27:G27)</f>
        <v>0</v>
      </c>
      <c r="H28" s="40" t="s">
        <v>938</v>
      </c>
      <c r="I28" s="131"/>
      <c r="J28" s="130">
        <f>SUM(J27:J27)</f>
        <v>90000</v>
      </c>
    </row>
    <row r="29" spans="1:10" ht="61.5" customHeight="1">
      <c r="A29" s="139"/>
      <c r="B29" s="95"/>
      <c r="C29" s="94" t="s">
        <v>87</v>
      </c>
      <c r="D29" s="94" t="s">
        <v>172</v>
      </c>
      <c r="E29" s="94" t="s">
        <v>811</v>
      </c>
      <c r="F29" s="41" t="s">
        <v>114</v>
      </c>
      <c r="G29" s="127">
        <v>49656</v>
      </c>
      <c r="H29" s="483" t="s">
        <v>88</v>
      </c>
      <c r="I29" s="128" t="s">
        <v>1169</v>
      </c>
      <c r="J29" s="127">
        <v>0</v>
      </c>
    </row>
    <row r="30" spans="1:10" ht="26.25" customHeight="1">
      <c r="A30" s="185"/>
      <c r="B30" s="185"/>
      <c r="C30" s="39" t="s">
        <v>89</v>
      </c>
      <c r="D30" s="39" t="s">
        <v>937</v>
      </c>
      <c r="E30" s="39" t="s">
        <v>920</v>
      </c>
      <c r="F30" s="39" t="s">
        <v>920</v>
      </c>
      <c r="G30" s="130">
        <f>SUM(G29)</f>
        <v>49656</v>
      </c>
      <c r="H30" s="40" t="s">
        <v>90</v>
      </c>
      <c r="I30" s="131"/>
      <c r="J30" s="130">
        <f>SUM(J29)</f>
        <v>0</v>
      </c>
    </row>
    <row r="31" spans="1:10" ht="44.25" customHeight="1">
      <c r="A31" s="186"/>
      <c r="B31" s="186"/>
      <c r="C31" s="94" t="s">
        <v>103</v>
      </c>
      <c r="D31" s="133" t="s">
        <v>511</v>
      </c>
      <c r="E31" s="133" t="s">
        <v>555</v>
      </c>
      <c r="F31" s="133" t="s">
        <v>104</v>
      </c>
      <c r="G31" s="127">
        <v>0</v>
      </c>
      <c r="H31" s="132" t="s">
        <v>105</v>
      </c>
      <c r="I31" s="128" t="s">
        <v>681</v>
      </c>
      <c r="J31" s="127">
        <v>300000</v>
      </c>
    </row>
    <row r="32" spans="1:10" ht="26.25" customHeight="1">
      <c r="A32" s="185"/>
      <c r="B32" s="185"/>
      <c r="C32" s="39" t="s">
        <v>106</v>
      </c>
      <c r="D32" s="39" t="s">
        <v>937</v>
      </c>
      <c r="E32" s="39" t="s">
        <v>920</v>
      </c>
      <c r="F32" s="39" t="s">
        <v>920</v>
      </c>
      <c r="G32" s="130">
        <f>SUM(G31)</f>
        <v>0</v>
      </c>
      <c r="H32" s="40" t="s">
        <v>107</v>
      </c>
      <c r="I32" s="131"/>
      <c r="J32" s="130">
        <f>SUM(J31)</f>
        <v>300000</v>
      </c>
    </row>
    <row r="33" spans="1:10" ht="75" customHeight="1">
      <c r="A33" s="186"/>
      <c r="B33" s="186"/>
      <c r="C33" s="133" t="s">
        <v>906</v>
      </c>
      <c r="D33" s="133" t="s">
        <v>38</v>
      </c>
      <c r="E33" s="133" t="s">
        <v>108</v>
      </c>
      <c r="F33" s="133" t="s">
        <v>880</v>
      </c>
      <c r="G33" s="127">
        <v>56000</v>
      </c>
      <c r="H33" s="132" t="s">
        <v>109</v>
      </c>
      <c r="I33" s="128" t="s">
        <v>681</v>
      </c>
      <c r="J33" s="127">
        <v>56000</v>
      </c>
    </row>
    <row r="34" spans="1:10" ht="56.25" customHeight="1">
      <c r="A34" s="186"/>
      <c r="B34" s="186"/>
      <c r="C34" s="94" t="s">
        <v>906</v>
      </c>
      <c r="D34" s="94" t="s">
        <v>41</v>
      </c>
      <c r="E34" s="94" t="s">
        <v>23</v>
      </c>
      <c r="F34" s="94" t="s">
        <v>880</v>
      </c>
      <c r="G34" s="127">
        <v>60000</v>
      </c>
      <c r="H34" s="193" t="s">
        <v>110</v>
      </c>
      <c r="I34" s="128" t="s">
        <v>681</v>
      </c>
      <c r="J34" s="127">
        <v>60000</v>
      </c>
    </row>
    <row r="35" spans="1:10" s="42" customFormat="1" ht="57" customHeight="1">
      <c r="A35" s="186"/>
      <c r="B35" s="186"/>
      <c r="C35" s="133" t="s">
        <v>906</v>
      </c>
      <c r="D35" s="133" t="s">
        <v>41</v>
      </c>
      <c r="E35" s="133" t="s">
        <v>108</v>
      </c>
      <c r="F35" s="133" t="s">
        <v>880</v>
      </c>
      <c r="G35" s="127">
        <v>90000</v>
      </c>
      <c r="H35" s="193" t="s">
        <v>111</v>
      </c>
      <c r="I35" s="128" t="s">
        <v>681</v>
      </c>
      <c r="J35" s="127">
        <v>90000</v>
      </c>
    </row>
    <row r="36" spans="1:10" s="42" customFormat="1" ht="55.5" customHeight="1">
      <c r="A36" s="186"/>
      <c r="B36" s="186"/>
      <c r="C36" s="133" t="s">
        <v>906</v>
      </c>
      <c r="D36" s="133" t="s">
        <v>41</v>
      </c>
      <c r="E36" s="133" t="s">
        <v>108</v>
      </c>
      <c r="F36" s="133" t="s">
        <v>880</v>
      </c>
      <c r="G36" s="127">
        <v>30000</v>
      </c>
      <c r="H36" s="193" t="s">
        <v>1119</v>
      </c>
      <c r="I36" s="128" t="s">
        <v>681</v>
      </c>
      <c r="J36" s="127">
        <v>30000</v>
      </c>
    </row>
    <row r="37" spans="1:10" s="42" customFormat="1" ht="60" customHeight="1">
      <c r="A37" s="186"/>
      <c r="B37" s="186"/>
      <c r="C37" s="133" t="s">
        <v>906</v>
      </c>
      <c r="D37" s="133" t="s">
        <v>41</v>
      </c>
      <c r="E37" s="133" t="s">
        <v>108</v>
      </c>
      <c r="F37" s="133" t="s">
        <v>880</v>
      </c>
      <c r="G37" s="127">
        <v>150000</v>
      </c>
      <c r="H37" s="193" t="s">
        <v>1120</v>
      </c>
      <c r="I37" s="128" t="s">
        <v>681</v>
      </c>
      <c r="J37" s="127">
        <v>150000</v>
      </c>
    </row>
    <row r="38" spans="1:10" s="42" customFormat="1" ht="25.5" customHeight="1">
      <c r="A38" s="129"/>
      <c r="B38" s="129"/>
      <c r="C38" s="39" t="s">
        <v>1320</v>
      </c>
      <c r="D38" s="39" t="s">
        <v>937</v>
      </c>
      <c r="E38" s="39" t="s">
        <v>920</v>
      </c>
      <c r="F38" s="134" t="s">
        <v>920</v>
      </c>
      <c r="G38" s="130">
        <f>SUM(G33:G37)</f>
        <v>386000</v>
      </c>
      <c r="H38" s="40" t="s">
        <v>939</v>
      </c>
      <c r="I38" s="131"/>
      <c r="J38" s="130">
        <f>SUM(J33:J37)</f>
        <v>386000</v>
      </c>
    </row>
    <row r="39" spans="1:10" ht="24.75" customHeight="1">
      <c r="A39" s="189"/>
      <c r="B39" s="189"/>
      <c r="C39" s="192"/>
      <c r="D39" s="192"/>
      <c r="E39" s="192"/>
      <c r="F39" s="192"/>
      <c r="G39" s="191">
        <f>G28+G30+G32+G38</f>
        <v>435656</v>
      </c>
      <c r="H39" s="219" t="s">
        <v>879</v>
      </c>
      <c r="I39" s="192"/>
      <c r="J39" s="191">
        <f>J28+J30+J32+J38</f>
        <v>776000</v>
      </c>
    </row>
    <row r="40" spans="1:10" ht="24" customHeight="1">
      <c r="A40" s="189">
        <v>7000000</v>
      </c>
      <c r="B40" s="189"/>
      <c r="C40" s="192"/>
      <c r="D40" s="192"/>
      <c r="E40" s="192"/>
      <c r="F40" s="192"/>
      <c r="G40" s="191">
        <f>G26+G39</f>
        <v>883367.37</v>
      </c>
      <c r="H40" s="219" t="s">
        <v>1372</v>
      </c>
      <c r="I40" s="192"/>
      <c r="J40" s="191">
        <f>J26+J39</f>
        <v>1273711.37</v>
      </c>
    </row>
    <row r="41" spans="1:10" ht="54" customHeight="1">
      <c r="A41" s="194"/>
      <c r="B41" s="194"/>
      <c r="C41" s="94" t="s">
        <v>1316</v>
      </c>
      <c r="D41" s="94" t="s">
        <v>657</v>
      </c>
      <c r="E41" s="94" t="s">
        <v>555</v>
      </c>
      <c r="F41" s="41" t="s">
        <v>878</v>
      </c>
      <c r="G41" s="482">
        <v>89964</v>
      </c>
      <c r="H41" s="193" t="s">
        <v>102</v>
      </c>
      <c r="I41" s="128" t="s">
        <v>1169</v>
      </c>
      <c r="J41" s="127">
        <v>0</v>
      </c>
    </row>
    <row r="42" spans="1:10" ht="23.25" customHeight="1">
      <c r="A42" s="218"/>
      <c r="B42" s="218"/>
      <c r="C42" s="39" t="s">
        <v>115</v>
      </c>
      <c r="D42" s="39" t="s">
        <v>937</v>
      </c>
      <c r="E42" s="39" t="s">
        <v>920</v>
      </c>
      <c r="F42" s="39" t="s">
        <v>920</v>
      </c>
      <c r="G42" s="135">
        <f>SUM(G41)</f>
        <v>89964</v>
      </c>
      <c r="H42" s="40" t="s">
        <v>938</v>
      </c>
      <c r="I42" s="220"/>
      <c r="J42" s="130">
        <f>SUM(J41)</f>
        <v>0</v>
      </c>
    </row>
    <row r="43" spans="1:10" ht="57.75" customHeight="1">
      <c r="A43" s="187"/>
      <c r="B43" s="187"/>
      <c r="C43" s="133" t="s">
        <v>906</v>
      </c>
      <c r="D43" s="133" t="s">
        <v>41</v>
      </c>
      <c r="E43" s="133" t="s">
        <v>108</v>
      </c>
      <c r="F43" s="133" t="s">
        <v>880</v>
      </c>
      <c r="G43" s="127">
        <v>30000</v>
      </c>
      <c r="H43" s="193" t="s">
        <v>1121</v>
      </c>
      <c r="I43" s="128" t="s">
        <v>681</v>
      </c>
      <c r="J43" s="127">
        <v>30000</v>
      </c>
    </row>
    <row r="44" spans="1:10" ht="57" customHeight="1">
      <c r="A44" s="187"/>
      <c r="B44" s="187"/>
      <c r="C44" s="133" t="s">
        <v>906</v>
      </c>
      <c r="D44" s="133" t="s">
        <v>41</v>
      </c>
      <c r="E44" s="133" t="s">
        <v>108</v>
      </c>
      <c r="F44" s="133" t="s">
        <v>880</v>
      </c>
      <c r="G44" s="127">
        <v>30000</v>
      </c>
      <c r="H44" s="193" t="s">
        <v>1122</v>
      </c>
      <c r="I44" s="128" t="s">
        <v>681</v>
      </c>
      <c r="J44" s="127">
        <v>30000</v>
      </c>
    </row>
    <row r="45" spans="1:10" ht="56.25" customHeight="1">
      <c r="A45" s="187"/>
      <c r="B45" s="187"/>
      <c r="C45" s="133" t="s">
        <v>906</v>
      </c>
      <c r="D45" s="133" t="s">
        <v>41</v>
      </c>
      <c r="E45" s="133" t="s">
        <v>108</v>
      </c>
      <c r="F45" s="133" t="s">
        <v>880</v>
      </c>
      <c r="G45" s="127">
        <v>30000</v>
      </c>
      <c r="H45" s="193" t="s">
        <v>1123</v>
      </c>
      <c r="I45" s="128" t="s">
        <v>681</v>
      </c>
      <c r="J45" s="127">
        <v>30000</v>
      </c>
    </row>
    <row r="46" spans="1:10" ht="54.75" customHeight="1">
      <c r="A46" s="187"/>
      <c r="B46" s="187"/>
      <c r="C46" s="133" t="s">
        <v>906</v>
      </c>
      <c r="D46" s="133" t="s">
        <v>41</v>
      </c>
      <c r="E46" s="133" t="s">
        <v>108</v>
      </c>
      <c r="F46" s="133" t="s">
        <v>880</v>
      </c>
      <c r="G46" s="127">
        <v>90000</v>
      </c>
      <c r="H46" s="193" t="s">
        <v>1124</v>
      </c>
      <c r="I46" s="128" t="s">
        <v>681</v>
      </c>
      <c r="J46" s="127">
        <v>90000</v>
      </c>
    </row>
    <row r="47" spans="1:10" ht="63.75" customHeight="1" hidden="1">
      <c r="A47" s="187"/>
      <c r="B47" s="187"/>
      <c r="C47" s="133" t="s">
        <v>906</v>
      </c>
      <c r="D47" s="133" t="s">
        <v>41</v>
      </c>
      <c r="E47" s="133" t="s">
        <v>108</v>
      </c>
      <c r="F47" s="133" t="s">
        <v>880</v>
      </c>
      <c r="G47" s="127">
        <v>90000</v>
      </c>
      <c r="H47" s="193" t="s">
        <v>1125</v>
      </c>
      <c r="I47" s="128" t="s">
        <v>681</v>
      </c>
      <c r="J47" s="127">
        <v>90000</v>
      </c>
    </row>
    <row r="48" spans="1:10" ht="58.5" customHeight="1">
      <c r="A48" s="187"/>
      <c r="B48" s="187"/>
      <c r="C48" s="133" t="s">
        <v>906</v>
      </c>
      <c r="D48" s="133" t="s">
        <v>41</v>
      </c>
      <c r="E48" s="133" t="s">
        <v>108</v>
      </c>
      <c r="F48" s="133" t="s">
        <v>880</v>
      </c>
      <c r="G48" s="127">
        <v>30000</v>
      </c>
      <c r="H48" s="193" t="s">
        <v>1126</v>
      </c>
      <c r="I48" s="128" t="s">
        <v>681</v>
      </c>
      <c r="J48" s="127">
        <v>30000</v>
      </c>
    </row>
    <row r="49" spans="1:10" ht="57" customHeight="1">
      <c r="A49" s="187"/>
      <c r="B49" s="187"/>
      <c r="C49" s="133" t="s">
        <v>906</v>
      </c>
      <c r="D49" s="133" t="s">
        <v>41</v>
      </c>
      <c r="E49" s="133" t="s">
        <v>108</v>
      </c>
      <c r="F49" s="133" t="s">
        <v>880</v>
      </c>
      <c r="G49" s="127">
        <v>90000</v>
      </c>
      <c r="H49" s="193" t="s">
        <v>1127</v>
      </c>
      <c r="I49" s="128" t="s">
        <v>681</v>
      </c>
      <c r="J49" s="127">
        <v>90000</v>
      </c>
    </row>
    <row r="50" spans="1:10" ht="55.5" customHeight="1">
      <c r="A50" s="187"/>
      <c r="B50" s="187"/>
      <c r="C50" s="133" t="s">
        <v>906</v>
      </c>
      <c r="D50" s="133" t="s">
        <v>41</v>
      </c>
      <c r="E50" s="133" t="s">
        <v>108</v>
      </c>
      <c r="F50" s="133" t="s">
        <v>880</v>
      </c>
      <c r="G50" s="127">
        <v>60000</v>
      </c>
      <c r="H50" s="193" t="s">
        <v>1128</v>
      </c>
      <c r="I50" s="128" t="s">
        <v>681</v>
      </c>
      <c r="J50" s="127">
        <v>60000</v>
      </c>
    </row>
    <row r="51" spans="1:10" ht="57.75" customHeight="1">
      <c r="A51" s="187"/>
      <c r="B51" s="187"/>
      <c r="C51" s="133" t="s">
        <v>906</v>
      </c>
      <c r="D51" s="133" t="s">
        <v>41</v>
      </c>
      <c r="E51" s="133" t="s">
        <v>108</v>
      </c>
      <c r="F51" s="133" t="s">
        <v>880</v>
      </c>
      <c r="G51" s="127">
        <v>30000</v>
      </c>
      <c r="H51" s="193" t="s">
        <v>1129</v>
      </c>
      <c r="I51" s="128" t="s">
        <v>681</v>
      </c>
      <c r="J51" s="127">
        <v>30000</v>
      </c>
    </row>
    <row r="52" spans="1:10" ht="54.75" customHeight="1">
      <c r="A52" s="187"/>
      <c r="B52" s="187"/>
      <c r="C52" s="133" t="s">
        <v>906</v>
      </c>
      <c r="D52" s="133" t="s">
        <v>41</v>
      </c>
      <c r="E52" s="133" t="s">
        <v>108</v>
      </c>
      <c r="F52" s="133" t="s">
        <v>880</v>
      </c>
      <c r="G52" s="127">
        <v>60000</v>
      </c>
      <c r="H52" s="193" t="s">
        <v>1130</v>
      </c>
      <c r="I52" s="128" t="s">
        <v>681</v>
      </c>
      <c r="J52" s="127">
        <v>60000</v>
      </c>
    </row>
    <row r="53" spans="1:10" ht="57.75" customHeight="1">
      <c r="A53" s="187"/>
      <c r="B53" s="187"/>
      <c r="C53" s="133" t="s">
        <v>906</v>
      </c>
      <c r="D53" s="133" t="s">
        <v>41</v>
      </c>
      <c r="E53" s="133" t="s">
        <v>108</v>
      </c>
      <c r="F53" s="133" t="s">
        <v>880</v>
      </c>
      <c r="G53" s="127">
        <v>150000</v>
      </c>
      <c r="H53" s="193" t="s">
        <v>231</v>
      </c>
      <c r="I53" s="128" t="s">
        <v>681</v>
      </c>
      <c r="J53" s="127">
        <v>150000</v>
      </c>
    </row>
    <row r="54" spans="1:10" ht="26.25" customHeight="1">
      <c r="A54" s="129"/>
      <c r="B54" s="129"/>
      <c r="C54" s="39" t="s">
        <v>1320</v>
      </c>
      <c r="D54" s="39" t="s">
        <v>937</v>
      </c>
      <c r="E54" s="39" t="s">
        <v>920</v>
      </c>
      <c r="F54" s="134" t="s">
        <v>920</v>
      </c>
      <c r="G54" s="130">
        <f>SUM(G43:G53)</f>
        <v>690000</v>
      </c>
      <c r="H54" s="40" t="s">
        <v>939</v>
      </c>
      <c r="I54" s="131"/>
      <c r="J54" s="130">
        <f>SUM(J43:J53)</f>
        <v>690000</v>
      </c>
    </row>
    <row r="55" spans="1:10" ht="26.25" customHeight="1">
      <c r="A55" s="189"/>
      <c r="B55" s="189"/>
      <c r="C55" s="192"/>
      <c r="D55" s="192"/>
      <c r="E55" s="192"/>
      <c r="F55" s="192"/>
      <c r="G55" s="191">
        <f>G42+G54</f>
        <v>779964</v>
      </c>
      <c r="H55" s="219" t="s">
        <v>881</v>
      </c>
      <c r="I55" s="192"/>
      <c r="J55" s="191">
        <f>J42+J54</f>
        <v>690000</v>
      </c>
    </row>
    <row r="56" spans="1:10" ht="24" customHeight="1">
      <c r="A56" s="189">
        <v>7000000</v>
      </c>
      <c r="B56" s="189"/>
      <c r="C56" s="192"/>
      <c r="D56" s="192"/>
      <c r="E56" s="192"/>
      <c r="F56" s="192"/>
      <c r="G56" s="190">
        <f>G40+G55</f>
        <v>1663331.37</v>
      </c>
      <c r="H56" s="219" t="s">
        <v>882</v>
      </c>
      <c r="I56" s="192"/>
      <c r="J56" s="190">
        <f>J40+J55</f>
        <v>1963711.37</v>
      </c>
    </row>
    <row r="57" spans="1:10" ht="60" customHeight="1">
      <c r="A57" s="139"/>
      <c r="B57" s="95"/>
      <c r="C57" s="94" t="s">
        <v>1316</v>
      </c>
      <c r="D57" s="94" t="s">
        <v>657</v>
      </c>
      <c r="E57" s="94" t="s">
        <v>811</v>
      </c>
      <c r="F57" s="41" t="s">
        <v>114</v>
      </c>
      <c r="G57" s="482">
        <v>96000</v>
      </c>
      <c r="H57" s="193" t="s">
        <v>86</v>
      </c>
      <c r="I57" s="128" t="s">
        <v>681</v>
      </c>
      <c r="J57" s="127">
        <v>96000</v>
      </c>
    </row>
    <row r="58" spans="1:10" ht="24" customHeight="1">
      <c r="A58" s="185"/>
      <c r="B58" s="185"/>
      <c r="C58" s="39" t="s">
        <v>115</v>
      </c>
      <c r="D58" s="39" t="s">
        <v>937</v>
      </c>
      <c r="E58" s="39" t="s">
        <v>920</v>
      </c>
      <c r="F58" s="39" t="s">
        <v>920</v>
      </c>
      <c r="G58" s="130">
        <f>SUM(G57:G57)</f>
        <v>96000</v>
      </c>
      <c r="H58" s="40" t="s">
        <v>938</v>
      </c>
      <c r="I58" s="131"/>
      <c r="J58" s="130">
        <f>SUM(J57:J57)</f>
        <v>96000</v>
      </c>
    </row>
    <row r="59" spans="1:10" ht="48" customHeight="1">
      <c r="A59" s="186"/>
      <c r="B59" s="186"/>
      <c r="C59" s="94" t="s">
        <v>103</v>
      </c>
      <c r="D59" s="94" t="s">
        <v>511</v>
      </c>
      <c r="E59" s="94" t="s">
        <v>555</v>
      </c>
      <c r="F59" s="41" t="s">
        <v>232</v>
      </c>
      <c r="G59" s="482">
        <v>232492.82</v>
      </c>
      <c r="H59" s="137" t="s">
        <v>233</v>
      </c>
      <c r="I59" s="128" t="s">
        <v>681</v>
      </c>
      <c r="J59" s="127">
        <v>232493</v>
      </c>
    </row>
    <row r="60" spans="1:10" ht="22.5" customHeight="1">
      <c r="A60" s="185"/>
      <c r="B60" s="185"/>
      <c r="C60" s="39" t="s">
        <v>115</v>
      </c>
      <c r="D60" s="39" t="s">
        <v>937</v>
      </c>
      <c r="E60" s="39" t="s">
        <v>920</v>
      </c>
      <c r="F60" s="39" t="s">
        <v>920</v>
      </c>
      <c r="G60" s="130">
        <f>SUM(G59:G59)</f>
        <v>232492.82</v>
      </c>
      <c r="H60" s="40" t="s">
        <v>107</v>
      </c>
      <c r="I60" s="131"/>
      <c r="J60" s="130">
        <f>SUM(J59:J59)</f>
        <v>232493</v>
      </c>
    </row>
    <row r="61" spans="1:10" ht="66.75" customHeight="1">
      <c r="A61" s="186"/>
      <c r="B61" s="186"/>
      <c r="C61" s="136" t="s">
        <v>91</v>
      </c>
      <c r="D61" s="136" t="s">
        <v>1235</v>
      </c>
      <c r="E61" s="136" t="s">
        <v>1149</v>
      </c>
      <c r="F61" s="136" t="s">
        <v>92</v>
      </c>
      <c r="G61" s="138">
        <v>0</v>
      </c>
      <c r="H61" s="137" t="s">
        <v>234</v>
      </c>
      <c r="I61" s="128" t="s">
        <v>94</v>
      </c>
      <c r="J61" s="138">
        <v>17905</v>
      </c>
    </row>
    <row r="62" spans="1:10" ht="22.5" customHeight="1">
      <c r="A62" s="185"/>
      <c r="B62" s="185"/>
      <c r="C62" s="39" t="s">
        <v>115</v>
      </c>
      <c r="D62" s="39" t="s">
        <v>937</v>
      </c>
      <c r="E62" s="39" t="s">
        <v>920</v>
      </c>
      <c r="F62" s="39" t="s">
        <v>920</v>
      </c>
      <c r="G62" s="130">
        <f>SUM(G61:G61)</f>
        <v>0</v>
      </c>
      <c r="H62" s="40" t="s">
        <v>97</v>
      </c>
      <c r="I62" s="131"/>
      <c r="J62" s="130">
        <f>SUM(J61:J61)</f>
        <v>17905</v>
      </c>
    </row>
    <row r="63" spans="1:10" ht="51.75" customHeight="1">
      <c r="A63" s="194"/>
      <c r="B63" s="194"/>
      <c r="C63" s="133" t="s">
        <v>906</v>
      </c>
      <c r="D63" s="133" t="s">
        <v>41</v>
      </c>
      <c r="E63" s="133" t="s">
        <v>108</v>
      </c>
      <c r="F63" s="133" t="s">
        <v>880</v>
      </c>
      <c r="G63" s="127">
        <v>60000</v>
      </c>
      <c r="H63" s="193" t="s">
        <v>235</v>
      </c>
      <c r="I63" s="128" t="s">
        <v>681</v>
      </c>
      <c r="J63" s="127">
        <v>60000</v>
      </c>
    </row>
    <row r="64" spans="1:10" ht="57" customHeight="1">
      <c r="A64" s="194"/>
      <c r="B64" s="194"/>
      <c r="C64" s="133" t="s">
        <v>906</v>
      </c>
      <c r="D64" s="133" t="s">
        <v>41</v>
      </c>
      <c r="E64" s="133" t="s">
        <v>108</v>
      </c>
      <c r="F64" s="133" t="s">
        <v>880</v>
      </c>
      <c r="G64" s="127">
        <v>60000</v>
      </c>
      <c r="H64" s="193" t="s">
        <v>236</v>
      </c>
      <c r="I64" s="128" t="s">
        <v>681</v>
      </c>
      <c r="J64" s="127">
        <v>60000</v>
      </c>
    </row>
    <row r="65" spans="1:10" ht="24" customHeight="1">
      <c r="A65" s="194"/>
      <c r="B65" s="194"/>
      <c r="C65" s="39" t="s">
        <v>1320</v>
      </c>
      <c r="D65" s="39" t="s">
        <v>937</v>
      </c>
      <c r="E65" s="39" t="s">
        <v>920</v>
      </c>
      <c r="F65" s="134" t="s">
        <v>920</v>
      </c>
      <c r="G65" s="130">
        <f>G63+G64</f>
        <v>120000</v>
      </c>
      <c r="H65" s="40" t="s">
        <v>939</v>
      </c>
      <c r="I65" s="131"/>
      <c r="J65" s="130">
        <f>J63+J64</f>
        <v>120000</v>
      </c>
    </row>
    <row r="66" spans="1:10" ht="24" customHeight="1">
      <c r="A66" s="189"/>
      <c r="B66" s="189">
        <v>-854000</v>
      </c>
      <c r="C66" s="192"/>
      <c r="D66" s="192"/>
      <c r="E66" s="192"/>
      <c r="F66" s="192"/>
      <c r="G66" s="191">
        <f>G58+G65+G60+G62</f>
        <v>448492.82</v>
      </c>
      <c r="H66" s="219" t="s">
        <v>680</v>
      </c>
      <c r="I66" s="192"/>
      <c r="J66" s="191">
        <f>J58+J65+J60+J62</f>
        <v>466398</v>
      </c>
    </row>
    <row r="67" spans="1:10" ht="24" customHeight="1">
      <c r="A67" s="189">
        <v>7000000</v>
      </c>
      <c r="B67" s="189">
        <v>6146000</v>
      </c>
      <c r="C67" s="192"/>
      <c r="D67" s="192"/>
      <c r="E67" s="192"/>
      <c r="F67" s="192"/>
      <c r="G67" s="190">
        <f>G56+G66</f>
        <v>2111824.19</v>
      </c>
      <c r="H67" s="219" t="s">
        <v>1266</v>
      </c>
      <c r="I67" s="192"/>
      <c r="J67" s="190">
        <f>J56+J66</f>
        <v>2430109.37</v>
      </c>
    </row>
    <row r="68" spans="1:10" ht="32.25" customHeight="1">
      <c r="A68" s="487" t="s">
        <v>1267</v>
      </c>
      <c r="B68" s="488"/>
      <c r="C68" s="221"/>
      <c r="D68" s="221"/>
      <c r="E68" s="221"/>
      <c r="F68" s="221"/>
      <c r="G68" s="222"/>
      <c r="H68" s="223"/>
      <c r="I68" s="221"/>
      <c r="J68" s="140"/>
    </row>
    <row r="69" spans="1:10" ht="21" customHeight="1">
      <c r="A69" s="487" t="s">
        <v>211</v>
      </c>
      <c r="B69" s="488"/>
      <c r="C69" s="488"/>
      <c r="D69" s="488"/>
      <c r="E69" s="488"/>
      <c r="F69" s="488"/>
      <c r="G69" s="489"/>
      <c r="H69" s="490"/>
      <c r="I69" s="491"/>
      <c r="J69" s="492"/>
    </row>
    <row r="70" spans="3:10" ht="36" customHeight="1">
      <c r="C70" s="224"/>
      <c r="D70" s="224"/>
      <c r="E70" s="224"/>
      <c r="F70" s="224"/>
      <c r="I70" s="38"/>
      <c r="J70" s="493"/>
    </row>
    <row r="71" spans="3:10" ht="22.5" customHeight="1">
      <c r="C71" s="224"/>
      <c r="D71" s="224"/>
      <c r="E71" s="224"/>
      <c r="F71" s="224"/>
      <c r="I71" s="38"/>
      <c r="J71" s="38"/>
    </row>
    <row r="72" spans="3:10" ht="24" customHeight="1">
      <c r="C72" s="224"/>
      <c r="D72" s="224"/>
      <c r="E72" s="224"/>
      <c r="F72" s="224"/>
      <c r="I72" s="38"/>
      <c r="J72" s="38"/>
    </row>
    <row r="73" spans="3:10" ht="21" customHeight="1">
      <c r="C73" s="224"/>
      <c r="D73" s="224"/>
      <c r="E73" s="224"/>
      <c r="F73" s="224"/>
      <c r="H73" s="91"/>
      <c r="I73" s="38"/>
      <c r="J73" s="38"/>
    </row>
    <row r="74" spans="3:10" ht="48.75" customHeight="1">
      <c r="C74" s="224"/>
      <c r="D74" s="224"/>
      <c r="E74" s="224"/>
      <c r="F74" s="224"/>
      <c r="I74" s="38"/>
      <c r="J74" s="38"/>
    </row>
    <row r="75" spans="3:10" ht="48.75" customHeight="1">
      <c r="C75" s="224"/>
      <c r="D75" s="224"/>
      <c r="E75" s="224"/>
      <c r="F75" s="224"/>
      <c r="I75" s="38"/>
      <c r="J75"/>
    </row>
    <row r="76" spans="3:10" ht="28.5" customHeight="1">
      <c r="C76" s="224"/>
      <c r="D76" s="224"/>
      <c r="E76" s="224"/>
      <c r="F76" s="224"/>
      <c r="I76" s="38"/>
      <c r="J76" s="38"/>
    </row>
    <row r="77" spans="3:10" ht="39" customHeight="1">
      <c r="C77" s="224"/>
      <c r="D77" s="224"/>
      <c r="E77" s="224"/>
      <c r="F77" s="224"/>
      <c r="I77" s="38"/>
      <c r="J77" s="38"/>
    </row>
    <row r="78" spans="3:10" ht="39" customHeight="1">
      <c r="C78" s="224"/>
      <c r="D78" s="224"/>
      <c r="E78" s="224"/>
      <c r="F78" s="224"/>
      <c r="I78" s="38"/>
      <c r="J78" s="38"/>
    </row>
    <row r="79" spans="3:10" ht="39" customHeight="1">
      <c r="C79" s="224"/>
      <c r="D79" s="224"/>
      <c r="E79" s="224"/>
      <c r="F79" s="224"/>
      <c r="I79" s="38"/>
      <c r="J79" s="38"/>
    </row>
    <row r="80" spans="3:10" ht="37.5" customHeight="1">
      <c r="C80" s="224"/>
      <c r="D80" s="224"/>
      <c r="E80" s="224"/>
      <c r="F80" s="224"/>
      <c r="I80" s="38"/>
      <c r="J80" s="38"/>
    </row>
    <row r="81" spans="3:10" ht="37.5" customHeight="1">
      <c r="C81" s="224"/>
      <c r="D81" s="224"/>
      <c r="E81" s="224"/>
      <c r="F81" s="224"/>
      <c r="I81" s="38"/>
      <c r="J81" s="38"/>
    </row>
    <row r="82" spans="3:10" ht="37.5" customHeight="1">
      <c r="C82" s="224"/>
      <c r="D82" s="224"/>
      <c r="E82" s="224"/>
      <c r="F82" s="224"/>
      <c r="I82" s="38"/>
      <c r="J82" s="38"/>
    </row>
    <row r="83" spans="3:10" ht="37.5" customHeight="1">
      <c r="C83" s="224"/>
      <c r="D83" s="224"/>
      <c r="E83" s="224"/>
      <c r="F83" s="224"/>
      <c r="I83" s="38"/>
      <c r="J83" s="38"/>
    </row>
    <row r="84" spans="3:10" ht="66.75" customHeight="1">
      <c r="C84" s="224"/>
      <c r="D84" s="224"/>
      <c r="E84" s="224"/>
      <c r="F84" s="224"/>
      <c r="I84" s="38"/>
      <c r="J84" s="38"/>
    </row>
    <row r="85" spans="3:10" ht="28.5" customHeight="1">
      <c r="C85" s="224"/>
      <c r="D85" s="224"/>
      <c r="E85" s="224"/>
      <c r="F85" s="224"/>
      <c r="I85" s="38"/>
      <c r="J85" s="38"/>
    </row>
  </sheetData>
  <sheetProtection/>
  <mergeCells count="14">
    <mergeCell ref="A5:J5"/>
    <mergeCell ref="A11:A12"/>
    <mergeCell ref="B11:B12"/>
    <mergeCell ref="C11:C12"/>
    <mergeCell ref="D11:D12"/>
    <mergeCell ref="E11:E12"/>
    <mergeCell ref="H26:I26"/>
    <mergeCell ref="A6:J6"/>
    <mergeCell ref="A7:J7"/>
    <mergeCell ref="J11:J12"/>
    <mergeCell ref="F11:F12"/>
    <mergeCell ref="G11:G12"/>
    <mergeCell ref="H11:H12"/>
    <mergeCell ref="I11:I12"/>
  </mergeCells>
  <printOptions/>
  <pageMargins left="0.75" right="0.75" top="1" bottom="1" header="0.5" footer="0.5"/>
  <pageSetup firstPageNumber="143" useFirstPageNumber="1" fitToHeight="10" fitToWidth="1" horizontalDpi="600" verticalDpi="600" orientation="landscape" paperSize="9" scale="73"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E296"/>
  <sheetViews>
    <sheetView showGridLines="0" showZeros="0" zoomScaleSheetLayoutView="75" zoomScalePageLayoutView="0" workbookViewId="0" topLeftCell="A1">
      <selection activeCell="D2" sqref="D2"/>
    </sheetView>
  </sheetViews>
  <sheetFormatPr defaultColWidth="9.25390625" defaultRowHeight="12.75"/>
  <cols>
    <col min="1" max="1" width="61.25390625" style="14" customWidth="1"/>
    <col min="2" max="2" width="15.125" style="14" customWidth="1"/>
    <col min="3" max="3" width="24.125" style="13" customWidth="1"/>
    <col min="4" max="4" width="22.50390625" style="227" customWidth="1"/>
    <col min="5" max="16384" width="9.25390625" style="10" customWidth="1"/>
  </cols>
  <sheetData>
    <row r="1" spans="1:4" ht="15" customHeight="1">
      <c r="A1" s="9"/>
      <c r="B1" s="291"/>
      <c r="C1" s="9"/>
      <c r="D1" s="509" t="s">
        <v>348</v>
      </c>
    </row>
    <row r="2" spans="1:4" ht="13.5">
      <c r="A2" s="239"/>
      <c r="B2" s="292"/>
      <c r="C2" s="239"/>
      <c r="D2" s="510" t="s">
        <v>912</v>
      </c>
    </row>
    <row r="3" spans="1:4" ht="15" customHeight="1">
      <c r="A3" s="11"/>
      <c r="B3" s="293"/>
      <c r="C3" s="11"/>
      <c r="D3" s="510" t="s">
        <v>1495</v>
      </c>
    </row>
    <row r="4" spans="1:4" ht="13.5">
      <c r="A4" s="239"/>
      <c r="B4" s="292"/>
      <c r="C4" s="239"/>
      <c r="D4" s="240"/>
    </row>
    <row r="5" spans="1:4" ht="13.5">
      <c r="A5" s="526" t="s">
        <v>313</v>
      </c>
      <c r="B5" s="526"/>
      <c r="C5" s="526"/>
      <c r="D5" s="526"/>
    </row>
    <row r="6" spans="1:4" ht="13.5">
      <c r="A6" s="526" t="s">
        <v>131</v>
      </c>
      <c r="B6" s="526"/>
      <c r="C6" s="526"/>
      <c r="D6" s="526"/>
    </row>
    <row r="7" spans="1:4" ht="13.5">
      <c r="A7" s="526" t="s">
        <v>314</v>
      </c>
      <c r="B7" s="526"/>
      <c r="C7" s="526"/>
      <c r="D7" s="526"/>
    </row>
    <row r="8" spans="1:5" ht="30" customHeight="1" thickBot="1">
      <c r="A8" s="241"/>
      <c r="B8" s="294"/>
      <c r="C8" s="241"/>
      <c r="D8" s="240"/>
      <c r="E8" s="313"/>
    </row>
    <row r="9" spans="1:4" ht="63.75" customHeight="1">
      <c r="A9" s="337" t="s">
        <v>919</v>
      </c>
      <c r="B9" s="338" t="s">
        <v>315</v>
      </c>
      <c r="C9" s="339" t="s">
        <v>316</v>
      </c>
      <c r="D9" s="340" t="s">
        <v>933</v>
      </c>
    </row>
    <row r="10" spans="1:4" ht="13.5">
      <c r="A10" s="295" t="s">
        <v>317</v>
      </c>
      <c r="B10" s="296"/>
      <c r="C10" s="146"/>
      <c r="D10" s="341">
        <f>D11+D13+D21+D28+D49+D54+D59+D63+D74+D88+D91+D95+D97+D112+D117+D120+D122+D57</f>
        <v>4962504.4799999995</v>
      </c>
    </row>
    <row r="11" spans="1:4" ht="26.25">
      <c r="A11" s="201" t="s">
        <v>318</v>
      </c>
      <c r="B11" s="151" t="s">
        <v>679</v>
      </c>
      <c r="C11" s="195"/>
      <c r="D11" s="342">
        <f>D12</f>
        <v>84.6</v>
      </c>
    </row>
    <row r="12" spans="1:4" ht="26.25">
      <c r="A12" s="196" t="s">
        <v>480</v>
      </c>
      <c r="B12" s="297"/>
      <c r="C12" s="195" t="s">
        <v>479</v>
      </c>
      <c r="D12" s="343">
        <v>84.6</v>
      </c>
    </row>
    <row r="13" spans="1:4" ht="26.25">
      <c r="A13" s="201" t="s">
        <v>319</v>
      </c>
      <c r="B13" s="151" t="s">
        <v>1319</v>
      </c>
      <c r="C13" s="298"/>
      <c r="D13" s="342">
        <f>SUM(D14:D20)</f>
        <v>91682.84</v>
      </c>
    </row>
    <row r="14" spans="1:4" ht="13.5">
      <c r="A14" s="196" t="s">
        <v>366</v>
      </c>
      <c r="B14" s="151"/>
      <c r="C14" s="298" t="s">
        <v>747</v>
      </c>
      <c r="D14" s="343">
        <v>93.72</v>
      </c>
    </row>
    <row r="15" spans="1:4" ht="26.25">
      <c r="A15" s="196" t="s">
        <v>480</v>
      </c>
      <c r="B15" s="151"/>
      <c r="C15" s="298" t="s">
        <v>479</v>
      </c>
      <c r="D15" s="343">
        <v>67.68</v>
      </c>
    </row>
    <row r="16" spans="1:4" ht="13.5" customHeight="1">
      <c r="A16" s="196" t="s">
        <v>1139</v>
      </c>
      <c r="B16" s="297"/>
      <c r="C16" s="195" t="s">
        <v>485</v>
      </c>
      <c r="D16" s="343">
        <v>102.25</v>
      </c>
    </row>
    <row r="17" spans="1:4" ht="26.25">
      <c r="A17" s="196" t="s">
        <v>1283</v>
      </c>
      <c r="B17" s="297"/>
      <c r="C17" s="195" t="s">
        <v>1282</v>
      </c>
      <c r="D17" s="343">
        <v>79064.7</v>
      </c>
    </row>
    <row r="18" spans="1:4" ht="13.5">
      <c r="A18" s="196" t="s">
        <v>412</v>
      </c>
      <c r="B18" s="297"/>
      <c r="C18" s="195" t="s">
        <v>411</v>
      </c>
      <c r="D18" s="343">
        <v>23076.63</v>
      </c>
    </row>
    <row r="19" spans="1:4" ht="39">
      <c r="A19" s="196" t="s">
        <v>490</v>
      </c>
      <c r="B19" s="297"/>
      <c r="C19" s="195" t="s">
        <v>704</v>
      </c>
      <c r="D19" s="343">
        <v>550</v>
      </c>
    </row>
    <row r="20" spans="1:4" ht="26.25">
      <c r="A20" s="196" t="s">
        <v>786</v>
      </c>
      <c r="B20" s="297"/>
      <c r="C20" s="195" t="s">
        <v>1005</v>
      </c>
      <c r="D20" s="344">
        <v>-11272.14</v>
      </c>
    </row>
    <row r="21" spans="1:4" ht="26.25">
      <c r="A21" s="201" t="s">
        <v>320</v>
      </c>
      <c r="B21" s="151" t="s">
        <v>925</v>
      </c>
      <c r="C21" s="298"/>
      <c r="D21" s="342">
        <f>SUM(D22:D27)</f>
        <v>15694.779999999999</v>
      </c>
    </row>
    <row r="22" spans="1:4" ht="26.25">
      <c r="A22" s="199" t="s">
        <v>745</v>
      </c>
      <c r="B22" s="299"/>
      <c r="C22" s="200" t="s">
        <v>744</v>
      </c>
      <c r="D22" s="343">
        <v>10</v>
      </c>
    </row>
    <row r="23" spans="1:4" ht="13.5">
      <c r="A23" s="199" t="s">
        <v>748</v>
      </c>
      <c r="B23" s="297"/>
      <c r="C23" s="200" t="s">
        <v>747</v>
      </c>
      <c r="D23" s="343">
        <v>112.55</v>
      </c>
    </row>
    <row r="24" spans="1:4" ht="26.25">
      <c r="A24" s="199" t="s">
        <v>480</v>
      </c>
      <c r="B24" s="297"/>
      <c r="C24" s="200" t="s">
        <v>479</v>
      </c>
      <c r="D24" s="343">
        <v>12.51</v>
      </c>
    </row>
    <row r="25" spans="1:4" ht="13.5">
      <c r="A25" s="196" t="s">
        <v>770</v>
      </c>
      <c r="B25" s="297"/>
      <c r="C25" s="195" t="s">
        <v>769</v>
      </c>
      <c r="D25" s="343">
        <v>13036</v>
      </c>
    </row>
    <row r="26" spans="1:4" ht="39">
      <c r="A26" s="199" t="s">
        <v>705</v>
      </c>
      <c r="B26" s="299"/>
      <c r="C26" s="195" t="s">
        <v>704</v>
      </c>
      <c r="D26" s="343">
        <v>3167.59</v>
      </c>
    </row>
    <row r="27" spans="1:4" ht="26.25">
      <c r="A27" s="196" t="s">
        <v>786</v>
      </c>
      <c r="B27" s="297"/>
      <c r="C27" s="195" t="s">
        <v>1005</v>
      </c>
      <c r="D27" s="344">
        <v>-643.87</v>
      </c>
    </row>
    <row r="28" spans="1:4" ht="26.25">
      <c r="A28" s="201" t="s">
        <v>321</v>
      </c>
      <c r="B28" s="151" t="s">
        <v>673</v>
      </c>
      <c r="C28" s="195"/>
      <c r="D28" s="342">
        <f>SUM(D29:D48)</f>
        <v>86696.91999999998</v>
      </c>
    </row>
    <row r="29" spans="1:4" ht="26.25">
      <c r="A29" s="199" t="s">
        <v>745</v>
      </c>
      <c r="B29" s="297"/>
      <c r="C29" s="200" t="s">
        <v>744</v>
      </c>
      <c r="D29" s="343">
        <v>1507.84</v>
      </c>
    </row>
    <row r="30" spans="1:4" ht="13.5">
      <c r="A30" s="199" t="s">
        <v>748</v>
      </c>
      <c r="B30" s="297"/>
      <c r="C30" s="200" t="s">
        <v>747</v>
      </c>
      <c r="D30" s="343">
        <v>4049.07</v>
      </c>
    </row>
    <row r="31" spans="1:4" ht="26.25">
      <c r="A31" s="196" t="s">
        <v>480</v>
      </c>
      <c r="B31" s="297"/>
      <c r="C31" s="195" t="s">
        <v>479</v>
      </c>
      <c r="D31" s="343">
        <v>145.4</v>
      </c>
    </row>
    <row r="32" spans="1:4" ht="15.75" customHeight="1">
      <c r="A32" s="196" t="s">
        <v>1139</v>
      </c>
      <c r="B32" s="297"/>
      <c r="C32" s="195" t="s">
        <v>485</v>
      </c>
      <c r="D32" s="343">
        <v>-0.89</v>
      </c>
    </row>
    <row r="33" spans="1:4" ht="13.5">
      <c r="A33" s="196" t="s">
        <v>1330</v>
      </c>
      <c r="B33" s="297"/>
      <c r="C33" s="195" t="s">
        <v>1329</v>
      </c>
      <c r="D33" s="343">
        <v>4775.49</v>
      </c>
    </row>
    <row r="34" spans="1:4" ht="26.25">
      <c r="A34" s="196" t="s">
        <v>386</v>
      </c>
      <c r="B34" s="300"/>
      <c r="C34" s="195" t="s">
        <v>306</v>
      </c>
      <c r="D34" s="343">
        <v>2679.66</v>
      </c>
    </row>
    <row r="35" spans="1:4" ht="39">
      <c r="A35" s="196" t="s">
        <v>693</v>
      </c>
      <c r="B35" s="300"/>
      <c r="C35" s="195" t="s">
        <v>692</v>
      </c>
      <c r="D35" s="343">
        <v>5000</v>
      </c>
    </row>
    <row r="36" spans="1:4" ht="26.25">
      <c r="A36" s="196" t="s">
        <v>491</v>
      </c>
      <c r="B36" s="300"/>
      <c r="C36" s="195" t="s">
        <v>970</v>
      </c>
      <c r="D36" s="343">
        <v>1082.17</v>
      </c>
    </row>
    <row r="37" spans="1:4" ht="13.5">
      <c r="A37" s="196" t="s">
        <v>770</v>
      </c>
      <c r="B37" s="297"/>
      <c r="C37" s="195" t="s">
        <v>769</v>
      </c>
      <c r="D37" s="343">
        <v>16931.2</v>
      </c>
    </row>
    <row r="38" spans="1:4" ht="26.25">
      <c r="A38" s="196" t="s">
        <v>1279</v>
      </c>
      <c r="B38" s="297"/>
      <c r="C38" s="195" t="s">
        <v>1278</v>
      </c>
      <c r="D38" s="343">
        <v>30503.51</v>
      </c>
    </row>
    <row r="39" spans="1:4" ht="24.75" customHeight="1">
      <c r="A39" s="196" t="s">
        <v>1283</v>
      </c>
      <c r="B39" s="297"/>
      <c r="C39" s="195" t="s">
        <v>1282</v>
      </c>
      <c r="D39" s="343">
        <v>8745.7</v>
      </c>
    </row>
    <row r="40" spans="1:4" ht="0.75" customHeight="1" hidden="1">
      <c r="A40" s="196" t="s">
        <v>1269</v>
      </c>
      <c r="B40" s="297"/>
      <c r="C40" s="195" t="s">
        <v>1116</v>
      </c>
      <c r="D40" s="343">
        <v>0</v>
      </c>
    </row>
    <row r="41" spans="1:4" ht="52.5">
      <c r="A41" s="196" t="s">
        <v>1071</v>
      </c>
      <c r="B41" s="297"/>
      <c r="C41" s="195" t="s">
        <v>1072</v>
      </c>
      <c r="D41" s="343">
        <v>1844.1</v>
      </c>
    </row>
    <row r="42" spans="1:4" ht="52.5">
      <c r="A42" s="196" t="s">
        <v>1402</v>
      </c>
      <c r="B42" s="297"/>
      <c r="C42" s="195" t="s">
        <v>308</v>
      </c>
      <c r="D42" s="343">
        <v>28166.93</v>
      </c>
    </row>
    <row r="43" spans="1:4" ht="39">
      <c r="A43" s="199" t="s">
        <v>705</v>
      </c>
      <c r="B43" s="299"/>
      <c r="C43" s="195" t="s">
        <v>704</v>
      </c>
      <c r="D43" s="343">
        <v>5856</v>
      </c>
    </row>
    <row r="44" spans="1:4" ht="39">
      <c r="A44" s="199" t="s">
        <v>492</v>
      </c>
      <c r="B44" s="299"/>
      <c r="C44" s="195" t="s">
        <v>134</v>
      </c>
      <c r="D44" s="343">
        <v>4121.31</v>
      </c>
    </row>
    <row r="45" spans="1:4" ht="52.5">
      <c r="A45" s="199" t="s">
        <v>1305</v>
      </c>
      <c r="B45" s="299"/>
      <c r="C45" s="195" t="s">
        <v>978</v>
      </c>
      <c r="D45" s="343">
        <v>750</v>
      </c>
    </row>
    <row r="46" spans="1:4" ht="26.25">
      <c r="A46" s="199" t="s">
        <v>310</v>
      </c>
      <c r="B46" s="297"/>
      <c r="C46" s="195" t="s">
        <v>133</v>
      </c>
      <c r="D46" s="343">
        <v>502.81</v>
      </c>
    </row>
    <row r="47" spans="1:4" ht="13.5">
      <c r="A47" s="199" t="s">
        <v>312</v>
      </c>
      <c r="B47" s="299"/>
      <c r="C47" s="195" t="s">
        <v>132</v>
      </c>
      <c r="D47" s="343">
        <v>2238.09</v>
      </c>
    </row>
    <row r="48" spans="1:4" ht="26.25">
      <c r="A48" s="196" t="s">
        <v>786</v>
      </c>
      <c r="B48" s="297"/>
      <c r="C48" s="195" t="s">
        <v>1005</v>
      </c>
      <c r="D48" s="344">
        <v>-32201.47</v>
      </c>
    </row>
    <row r="49" spans="1:4" ht="13.5">
      <c r="A49" s="201" t="s">
        <v>322</v>
      </c>
      <c r="B49" s="151" t="s">
        <v>323</v>
      </c>
      <c r="C49" s="200"/>
      <c r="D49" s="301">
        <f>D50+D51</f>
        <v>7013.99</v>
      </c>
    </row>
    <row r="50" spans="1:4" ht="13.5">
      <c r="A50" s="196" t="s">
        <v>1094</v>
      </c>
      <c r="B50" s="345"/>
      <c r="C50" s="195" t="s">
        <v>1093</v>
      </c>
      <c r="D50" s="231">
        <v>5200.99</v>
      </c>
    </row>
    <row r="51" spans="1:4" ht="63" customHeight="1">
      <c r="A51" s="196" t="s">
        <v>1166</v>
      </c>
      <c r="B51" s="297"/>
      <c r="C51" s="195" t="s">
        <v>1165</v>
      </c>
      <c r="D51" s="231">
        <v>1813</v>
      </c>
    </row>
    <row r="52" spans="1:4" ht="0.75" customHeight="1" hidden="1">
      <c r="A52" s="196"/>
      <c r="B52" s="300"/>
      <c r="C52" s="195"/>
      <c r="D52" s="301"/>
    </row>
    <row r="53" spans="1:4" ht="13.5" hidden="1">
      <c r="A53" s="196"/>
      <c r="B53" s="300"/>
      <c r="C53" s="497"/>
      <c r="D53" s="231"/>
    </row>
    <row r="54" spans="1:4" s="302" customFormat="1" ht="39">
      <c r="A54" s="201" t="s">
        <v>324</v>
      </c>
      <c r="B54" s="151" t="s">
        <v>325</v>
      </c>
      <c r="C54" s="200"/>
      <c r="D54" s="301">
        <f>D55+D56</f>
        <v>413.81</v>
      </c>
    </row>
    <row r="55" spans="1:4" s="302" customFormat="1" ht="26.25">
      <c r="A55" s="196" t="s">
        <v>1160</v>
      </c>
      <c r="B55" s="297"/>
      <c r="C55" s="195" t="s">
        <v>1159</v>
      </c>
      <c r="D55" s="230">
        <v>100</v>
      </c>
    </row>
    <row r="56" spans="1:4" s="302" customFormat="1" ht="26.25">
      <c r="A56" s="196" t="s">
        <v>480</v>
      </c>
      <c r="B56" s="297"/>
      <c r="C56" s="195" t="s">
        <v>479</v>
      </c>
      <c r="D56" s="230">
        <v>313.81</v>
      </c>
    </row>
    <row r="57" spans="1:4" s="302" customFormat="1" ht="26.25">
      <c r="A57" s="201" t="s">
        <v>1306</v>
      </c>
      <c r="B57" s="300" t="s">
        <v>64</v>
      </c>
      <c r="C57" s="195"/>
      <c r="D57" s="301">
        <f>SUM(D58)</f>
        <v>68861.1</v>
      </c>
    </row>
    <row r="58" spans="1:4" s="302" customFormat="1" ht="39">
      <c r="A58" s="196" t="s">
        <v>1307</v>
      </c>
      <c r="B58" s="297"/>
      <c r="C58" s="195" t="s">
        <v>1308</v>
      </c>
      <c r="D58" s="230">
        <v>68861.1</v>
      </c>
    </row>
    <row r="59" spans="1:4" s="302" customFormat="1" ht="13.5">
      <c r="A59" s="201" t="s">
        <v>326</v>
      </c>
      <c r="B59" s="151" t="s">
        <v>327</v>
      </c>
      <c r="C59" s="195"/>
      <c r="D59" s="301">
        <f>D60+D61+D62</f>
        <v>226</v>
      </c>
    </row>
    <row r="60" spans="1:4" s="302" customFormat="1" ht="26.25">
      <c r="A60" s="196" t="s">
        <v>1158</v>
      </c>
      <c r="B60" s="297"/>
      <c r="C60" s="195" t="s">
        <v>136</v>
      </c>
      <c r="D60" s="230">
        <v>41.5</v>
      </c>
    </row>
    <row r="61" spans="1:4" s="302" customFormat="1" ht="26.25">
      <c r="A61" s="196" t="s">
        <v>472</v>
      </c>
      <c r="B61" s="297"/>
      <c r="C61" s="195" t="s">
        <v>135</v>
      </c>
      <c r="D61" s="230">
        <v>100</v>
      </c>
    </row>
    <row r="62" spans="1:4" s="302" customFormat="1" ht="26.25">
      <c r="A62" s="196" t="s">
        <v>480</v>
      </c>
      <c r="B62" s="297"/>
      <c r="C62" s="195" t="s">
        <v>479</v>
      </c>
      <c r="D62" s="230">
        <v>84.5</v>
      </c>
    </row>
    <row r="63" spans="1:4" s="302" customFormat="1" ht="26.25">
      <c r="A63" s="201" t="s">
        <v>328</v>
      </c>
      <c r="B63" s="151" t="s">
        <v>329</v>
      </c>
      <c r="C63" s="195"/>
      <c r="D63" s="301">
        <f>SUM(D64:D73)</f>
        <v>1445439.94</v>
      </c>
    </row>
    <row r="64" spans="1:4" s="302" customFormat="1" ht="13.5">
      <c r="A64" s="199" t="s">
        <v>748</v>
      </c>
      <c r="B64" s="299"/>
      <c r="C64" s="200" t="s">
        <v>747</v>
      </c>
      <c r="D64" s="230">
        <v>35.17</v>
      </c>
    </row>
    <row r="65" spans="1:4" s="302" customFormat="1" ht="39">
      <c r="A65" s="199" t="s">
        <v>968</v>
      </c>
      <c r="B65" s="299"/>
      <c r="C65" s="200" t="s">
        <v>966</v>
      </c>
      <c r="D65" s="230">
        <v>6652.8</v>
      </c>
    </row>
    <row r="66" spans="1:4" s="302" customFormat="1" ht="13.5">
      <c r="A66" s="196" t="s">
        <v>770</v>
      </c>
      <c r="B66" s="297"/>
      <c r="C66" s="195" t="s">
        <v>769</v>
      </c>
      <c r="D66" s="230">
        <v>47009.11</v>
      </c>
    </row>
    <row r="67" spans="1:4" s="302" customFormat="1" ht="26.25">
      <c r="A67" s="196" t="s">
        <v>1275</v>
      </c>
      <c r="B67" s="297"/>
      <c r="C67" s="195" t="s">
        <v>1274</v>
      </c>
      <c r="D67" s="230">
        <v>7610.95</v>
      </c>
    </row>
    <row r="68" spans="1:4" s="302" customFormat="1" ht="26.25">
      <c r="A68" s="196" t="s">
        <v>1283</v>
      </c>
      <c r="B68" s="297"/>
      <c r="C68" s="195" t="s">
        <v>1282</v>
      </c>
      <c r="D68" s="230">
        <v>40397.6</v>
      </c>
    </row>
    <row r="69" spans="1:4" s="302" customFormat="1" ht="49.5" customHeight="1">
      <c r="A69" s="196" t="s">
        <v>1109</v>
      </c>
      <c r="B69" s="297"/>
      <c r="C69" s="195" t="s">
        <v>947</v>
      </c>
      <c r="D69" s="230">
        <v>25745.02</v>
      </c>
    </row>
    <row r="70" spans="1:4" s="302" customFormat="1" ht="26.25" hidden="1">
      <c r="A70" s="196" t="s">
        <v>459</v>
      </c>
      <c r="B70" s="297"/>
      <c r="C70" s="195" t="s">
        <v>458</v>
      </c>
      <c r="D70" s="230">
        <v>0</v>
      </c>
    </row>
    <row r="71" spans="1:4" s="302" customFormat="1" ht="13.5">
      <c r="A71" s="196" t="s">
        <v>412</v>
      </c>
      <c r="B71" s="297"/>
      <c r="C71" s="195" t="s">
        <v>411</v>
      </c>
      <c r="D71" s="230">
        <v>1338591.08</v>
      </c>
    </row>
    <row r="72" spans="1:4" s="302" customFormat="1" ht="39">
      <c r="A72" s="196" t="s">
        <v>490</v>
      </c>
      <c r="B72" s="297"/>
      <c r="C72" s="195" t="s">
        <v>704</v>
      </c>
      <c r="D72" s="230">
        <v>975</v>
      </c>
    </row>
    <row r="73" spans="1:4" s="302" customFormat="1" ht="26.25">
      <c r="A73" s="196" t="s">
        <v>786</v>
      </c>
      <c r="B73" s="297"/>
      <c r="C73" s="195" t="s">
        <v>1005</v>
      </c>
      <c r="D73" s="498">
        <v>-21576.79</v>
      </c>
    </row>
    <row r="74" spans="1:4" s="302" customFormat="1" ht="26.25">
      <c r="A74" s="201" t="s">
        <v>330</v>
      </c>
      <c r="B74" s="151" t="s">
        <v>527</v>
      </c>
      <c r="C74" s="200"/>
      <c r="D74" s="301">
        <f>SUM(D75:D87)</f>
        <v>957120.89</v>
      </c>
    </row>
    <row r="75" spans="1:4" s="302" customFormat="1" ht="26.25">
      <c r="A75" s="196" t="s">
        <v>373</v>
      </c>
      <c r="B75" s="297"/>
      <c r="C75" s="195" t="s">
        <v>372</v>
      </c>
      <c r="D75" s="230">
        <v>1143</v>
      </c>
    </row>
    <row r="76" spans="1:4" s="302" customFormat="1" ht="39">
      <c r="A76" s="196" t="s">
        <v>394</v>
      </c>
      <c r="B76" s="303"/>
      <c r="C76" s="197" t="s">
        <v>820</v>
      </c>
      <c r="D76" s="230">
        <v>1637.91</v>
      </c>
    </row>
    <row r="77" spans="1:4" s="302" customFormat="1" ht="52.5">
      <c r="A77" s="196" t="s">
        <v>1203</v>
      </c>
      <c r="B77" s="297"/>
      <c r="C77" s="198" t="s">
        <v>395</v>
      </c>
      <c r="D77" s="230">
        <v>443942.22</v>
      </c>
    </row>
    <row r="78" spans="1:4" s="302" customFormat="1" ht="52.5">
      <c r="A78" s="196" t="s">
        <v>420</v>
      </c>
      <c r="B78" s="297"/>
      <c r="C78" s="195" t="s">
        <v>1359</v>
      </c>
      <c r="D78" s="230">
        <v>162071.2</v>
      </c>
    </row>
    <row r="79" spans="1:4" s="302" customFormat="1" ht="39">
      <c r="A79" s="196" t="s">
        <v>405</v>
      </c>
      <c r="B79" s="297"/>
      <c r="C79" s="195" t="s">
        <v>997</v>
      </c>
      <c r="D79" s="230">
        <v>204.58</v>
      </c>
    </row>
    <row r="80" spans="1:4" s="302" customFormat="1" ht="62.25" customHeight="1">
      <c r="A80" s="196" t="s">
        <v>1090</v>
      </c>
      <c r="B80" s="303"/>
      <c r="C80" s="195" t="s">
        <v>210</v>
      </c>
      <c r="D80" s="230">
        <v>11787.16</v>
      </c>
    </row>
    <row r="81" spans="1:4" s="302" customFormat="1" ht="13.5" hidden="1">
      <c r="A81" s="199"/>
      <c r="B81" s="297"/>
      <c r="C81" s="200" t="s">
        <v>210</v>
      </c>
      <c r="D81" s="230">
        <v>0</v>
      </c>
    </row>
    <row r="82" spans="1:4" s="302" customFormat="1" ht="52.5">
      <c r="A82" s="199" t="s">
        <v>1310</v>
      </c>
      <c r="B82" s="297"/>
      <c r="C82" s="200" t="s">
        <v>1309</v>
      </c>
      <c r="D82" s="230">
        <v>19553.35</v>
      </c>
    </row>
    <row r="83" spans="1:4" s="302" customFormat="1" ht="26.25">
      <c r="A83" s="196" t="s">
        <v>1483</v>
      </c>
      <c r="B83" s="297"/>
      <c r="C83" s="195" t="s">
        <v>1482</v>
      </c>
      <c r="D83" s="230">
        <v>1028.64</v>
      </c>
    </row>
    <row r="84" spans="1:4" s="302" customFormat="1" ht="66">
      <c r="A84" s="196" t="s">
        <v>1188</v>
      </c>
      <c r="B84" s="297"/>
      <c r="C84" s="195" t="s">
        <v>449</v>
      </c>
      <c r="D84" s="230">
        <v>111090.87</v>
      </c>
    </row>
    <row r="85" spans="1:4" ht="39">
      <c r="A85" s="196" t="s">
        <v>520</v>
      </c>
      <c r="B85" s="297"/>
      <c r="C85" s="195" t="s">
        <v>465</v>
      </c>
      <c r="D85" s="230">
        <v>204659.39</v>
      </c>
    </row>
    <row r="86" spans="1:4" ht="26.25">
      <c r="A86" s="196" t="s">
        <v>480</v>
      </c>
      <c r="B86" s="297"/>
      <c r="C86" s="195" t="s">
        <v>479</v>
      </c>
      <c r="D86" s="230">
        <v>2.3</v>
      </c>
    </row>
    <row r="87" spans="1:4" ht="13.5">
      <c r="A87" s="196" t="s">
        <v>1139</v>
      </c>
      <c r="B87" s="297"/>
      <c r="C87" s="195" t="s">
        <v>485</v>
      </c>
      <c r="D87" s="230">
        <v>0.27</v>
      </c>
    </row>
    <row r="88" spans="1:4" ht="0.75" customHeight="1" hidden="1">
      <c r="A88" s="201" t="s">
        <v>331</v>
      </c>
      <c r="B88" s="151" t="s">
        <v>332</v>
      </c>
      <c r="C88" s="195"/>
      <c r="D88" s="301">
        <f>D89+D90</f>
        <v>0</v>
      </c>
    </row>
    <row r="89" spans="1:4" ht="13.5" hidden="1">
      <c r="A89" s="199" t="s">
        <v>748</v>
      </c>
      <c r="B89" s="297"/>
      <c r="C89" s="200" t="s">
        <v>747</v>
      </c>
      <c r="D89" s="230">
        <v>0</v>
      </c>
    </row>
    <row r="90" spans="1:4" ht="26.25" hidden="1">
      <c r="A90" s="196" t="s">
        <v>480</v>
      </c>
      <c r="B90" s="297"/>
      <c r="C90" s="195" t="s">
        <v>479</v>
      </c>
      <c r="D90" s="230">
        <v>0</v>
      </c>
    </row>
    <row r="91" spans="1:4" ht="26.25" hidden="1">
      <c r="A91" s="201" t="s">
        <v>333</v>
      </c>
      <c r="B91" s="151" t="s">
        <v>334</v>
      </c>
      <c r="C91" s="195"/>
      <c r="D91" s="301">
        <f>D92+D93+D94</f>
        <v>0</v>
      </c>
    </row>
    <row r="92" spans="1:4" ht="26.25" hidden="1">
      <c r="A92" s="196" t="s">
        <v>1158</v>
      </c>
      <c r="B92" s="297"/>
      <c r="C92" s="195" t="s">
        <v>1157</v>
      </c>
      <c r="D92" s="230">
        <v>0</v>
      </c>
    </row>
    <row r="93" spans="1:4" ht="39" hidden="1">
      <c r="A93" s="196" t="s">
        <v>470</v>
      </c>
      <c r="B93" s="297"/>
      <c r="C93" s="195" t="s">
        <v>1464</v>
      </c>
      <c r="D93" s="230">
        <v>0</v>
      </c>
    </row>
    <row r="94" spans="1:4" ht="26.25" hidden="1">
      <c r="A94" s="196" t="s">
        <v>480</v>
      </c>
      <c r="B94" s="297"/>
      <c r="C94" s="195" t="s">
        <v>479</v>
      </c>
      <c r="D94" s="230">
        <v>0</v>
      </c>
    </row>
    <row r="95" spans="1:4" ht="37.5" customHeight="1">
      <c r="A95" s="201" t="s">
        <v>335</v>
      </c>
      <c r="B95" s="151" t="s">
        <v>336</v>
      </c>
      <c r="C95" s="195"/>
      <c r="D95" s="301">
        <f>D96</f>
        <v>55</v>
      </c>
    </row>
    <row r="96" spans="1:4" ht="37.5" customHeight="1">
      <c r="A96" s="196" t="s">
        <v>480</v>
      </c>
      <c r="B96" s="297"/>
      <c r="C96" s="195" t="s">
        <v>479</v>
      </c>
      <c r="D96" s="230">
        <v>55</v>
      </c>
    </row>
    <row r="97" spans="1:4" ht="37.5" customHeight="1">
      <c r="A97" s="201" t="s">
        <v>337</v>
      </c>
      <c r="B97" s="151">
        <v>182</v>
      </c>
      <c r="C97" s="200"/>
      <c r="D97" s="301">
        <f>SUM(D99:D111)</f>
        <v>2281330.74</v>
      </c>
    </row>
    <row r="98" spans="1:4" ht="37.5" customHeight="1" hidden="1">
      <c r="A98" s="346" t="s">
        <v>542</v>
      </c>
      <c r="B98" s="304"/>
      <c r="C98" s="347" t="s">
        <v>541</v>
      </c>
      <c r="D98" s="230">
        <v>0</v>
      </c>
    </row>
    <row r="99" spans="1:4" ht="13.5">
      <c r="A99" s="346" t="s">
        <v>440</v>
      </c>
      <c r="B99" s="151"/>
      <c r="C99" s="200" t="s">
        <v>439</v>
      </c>
      <c r="D99" s="230">
        <v>982550.04</v>
      </c>
    </row>
    <row r="100" spans="1:4" ht="26.25">
      <c r="A100" s="199" t="s">
        <v>338</v>
      </c>
      <c r="B100" s="299"/>
      <c r="C100" s="200" t="s">
        <v>545</v>
      </c>
      <c r="D100" s="230">
        <v>160269.35</v>
      </c>
    </row>
    <row r="101" spans="1:4" ht="13.5">
      <c r="A101" s="199" t="s">
        <v>1285</v>
      </c>
      <c r="B101" s="299"/>
      <c r="C101" s="200" t="s">
        <v>129</v>
      </c>
      <c r="D101" s="230">
        <v>123550.2</v>
      </c>
    </row>
    <row r="102" spans="1:4" ht="13.5">
      <c r="A102" s="199" t="s">
        <v>430</v>
      </c>
      <c r="B102" s="304"/>
      <c r="C102" s="200" t="s">
        <v>1288</v>
      </c>
      <c r="D102" s="230">
        <v>101.66</v>
      </c>
    </row>
    <row r="103" spans="1:4" ht="26.25">
      <c r="A103" s="199" t="s">
        <v>760</v>
      </c>
      <c r="B103" s="305"/>
      <c r="C103" s="200" t="s">
        <v>339</v>
      </c>
      <c r="D103" s="230">
        <v>5832.41</v>
      </c>
    </row>
    <row r="104" spans="1:4" ht="13.5">
      <c r="A104" s="199" t="s">
        <v>434</v>
      </c>
      <c r="B104" s="299"/>
      <c r="C104" s="200" t="s">
        <v>433</v>
      </c>
      <c r="D104" s="230">
        <v>81532.6</v>
      </c>
    </row>
    <row r="105" spans="1:4" ht="13.5">
      <c r="A105" s="199" t="s">
        <v>214</v>
      </c>
      <c r="B105" s="299"/>
      <c r="C105" s="200" t="s">
        <v>213</v>
      </c>
      <c r="D105" s="230">
        <v>903586.38</v>
      </c>
    </row>
    <row r="106" spans="1:4" ht="26.25">
      <c r="A106" s="199" t="s">
        <v>367</v>
      </c>
      <c r="B106" s="299"/>
      <c r="C106" s="200" t="s">
        <v>627</v>
      </c>
      <c r="D106" s="230">
        <v>23455.9</v>
      </c>
    </row>
    <row r="107" spans="1:4" ht="37.5" customHeight="1">
      <c r="A107" s="199" t="s">
        <v>340</v>
      </c>
      <c r="B107" s="299"/>
      <c r="C107" s="200" t="s">
        <v>374</v>
      </c>
      <c r="D107" s="498">
        <v>-632.9</v>
      </c>
    </row>
    <row r="108" spans="1:4" ht="37.5" customHeight="1">
      <c r="A108" s="199" t="s">
        <v>1448</v>
      </c>
      <c r="B108" s="299"/>
      <c r="C108" s="200" t="s">
        <v>525</v>
      </c>
      <c r="D108" s="230">
        <v>578.2</v>
      </c>
    </row>
    <row r="109" spans="1:4" ht="37.5" customHeight="1">
      <c r="A109" s="199" t="s">
        <v>1450</v>
      </c>
      <c r="B109" s="299"/>
      <c r="C109" s="200" t="s">
        <v>1449</v>
      </c>
      <c r="D109" s="230">
        <v>45.1</v>
      </c>
    </row>
    <row r="110" spans="1:4" ht="37.5" customHeight="1">
      <c r="A110" s="199" t="s">
        <v>1452</v>
      </c>
      <c r="B110" s="299"/>
      <c r="C110" s="200" t="s">
        <v>1451</v>
      </c>
      <c r="D110" s="230">
        <v>456.8</v>
      </c>
    </row>
    <row r="111" spans="1:4" ht="37.5" customHeight="1">
      <c r="A111" s="199" t="s">
        <v>480</v>
      </c>
      <c r="B111" s="299"/>
      <c r="C111" s="200" t="s">
        <v>479</v>
      </c>
      <c r="D111" s="230">
        <v>5</v>
      </c>
    </row>
    <row r="112" spans="1:4" ht="37.5" customHeight="1">
      <c r="A112" s="201" t="s">
        <v>341</v>
      </c>
      <c r="B112" s="151" t="s">
        <v>342</v>
      </c>
      <c r="C112" s="200"/>
      <c r="D112" s="301">
        <f>D113+D114+D115+D116</f>
        <v>7163.130000000001</v>
      </c>
    </row>
    <row r="113" spans="1:4" ht="37.5" customHeight="1">
      <c r="A113" s="196" t="s">
        <v>685</v>
      </c>
      <c r="B113" s="297"/>
      <c r="C113" s="195" t="s">
        <v>1453</v>
      </c>
      <c r="D113" s="230">
        <v>1180.5</v>
      </c>
    </row>
    <row r="114" spans="1:4" ht="37.5" customHeight="1">
      <c r="A114" s="196" t="s">
        <v>472</v>
      </c>
      <c r="B114" s="297"/>
      <c r="C114" s="195" t="s">
        <v>471</v>
      </c>
      <c r="D114" s="230">
        <v>994.9</v>
      </c>
    </row>
    <row r="115" spans="1:4" ht="52.5">
      <c r="A115" s="196" t="s">
        <v>451</v>
      </c>
      <c r="B115" s="297"/>
      <c r="C115" s="195" t="s">
        <v>450</v>
      </c>
      <c r="D115" s="230">
        <v>1772.2</v>
      </c>
    </row>
    <row r="116" spans="1:4" ht="37.5" customHeight="1">
      <c r="A116" s="196" t="s">
        <v>480</v>
      </c>
      <c r="B116" s="297"/>
      <c r="C116" s="195" t="s">
        <v>479</v>
      </c>
      <c r="D116" s="230">
        <v>3215.53</v>
      </c>
    </row>
    <row r="117" spans="1:4" ht="37.5" customHeight="1">
      <c r="A117" s="201" t="s">
        <v>343</v>
      </c>
      <c r="B117" s="151" t="s">
        <v>344</v>
      </c>
      <c r="C117" s="195"/>
      <c r="D117" s="301">
        <f>D118+D119</f>
        <v>285.84</v>
      </c>
    </row>
    <row r="118" spans="1:4" ht="52.5">
      <c r="A118" s="196" t="s">
        <v>451</v>
      </c>
      <c r="B118" s="297"/>
      <c r="C118" s="195" t="s">
        <v>450</v>
      </c>
      <c r="D118" s="230">
        <v>4.9</v>
      </c>
    </row>
    <row r="119" spans="1:4" ht="37.5" customHeight="1">
      <c r="A119" s="196" t="s">
        <v>480</v>
      </c>
      <c r="B119" s="297"/>
      <c r="C119" s="195" t="s">
        <v>479</v>
      </c>
      <c r="D119" s="230">
        <v>280.94</v>
      </c>
    </row>
    <row r="120" spans="1:4" ht="37.5" customHeight="1">
      <c r="A120" s="201" t="s">
        <v>345</v>
      </c>
      <c r="B120" s="151" t="s">
        <v>926</v>
      </c>
      <c r="C120" s="200"/>
      <c r="D120" s="301">
        <f>D121</f>
        <v>178.9</v>
      </c>
    </row>
    <row r="121" spans="1:4" ht="37.5" customHeight="1">
      <c r="A121" s="196" t="s">
        <v>1160</v>
      </c>
      <c r="B121" s="297"/>
      <c r="C121" s="195" t="s">
        <v>1159</v>
      </c>
      <c r="D121" s="230">
        <v>178.9</v>
      </c>
    </row>
    <row r="122" spans="1:4" ht="37.5" customHeight="1">
      <c r="A122" s="306" t="s">
        <v>346</v>
      </c>
      <c r="B122" s="151" t="s">
        <v>347</v>
      </c>
      <c r="C122" s="200"/>
      <c r="D122" s="301">
        <f>D123</f>
        <v>256</v>
      </c>
    </row>
    <row r="123" spans="1:4" ht="37.5" customHeight="1">
      <c r="A123" s="196" t="s">
        <v>305</v>
      </c>
      <c r="B123" s="307"/>
      <c r="C123" s="195" t="s">
        <v>304</v>
      </c>
      <c r="D123" s="230">
        <v>256</v>
      </c>
    </row>
    <row r="124" spans="1:4" ht="37.5" customHeight="1">
      <c r="A124" s="10"/>
      <c r="B124" s="10"/>
      <c r="C124" s="10"/>
      <c r="D124" s="10"/>
    </row>
    <row r="125" spans="1:4" ht="37.5" customHeight="1">
      <c r="A125" s="10"/>
      <c r="B125" s="10"/>
      <c r="C125" s="10"/>
      <c r="D125" s="10"/>
    </row>
    <row r="126" spans="1:4" ht="37.5" customHeight="1">
      <c r="A126" s="10"/>
      <c r="B126" s="10"/>
      <c r="C126" s="10"/>
      <c r="D126" s="10"/>
    </row>
    <row r="127" spans="1:4" ht="37.5" customHeight="1">
      <c r="A127" s="10"/>
      <c r="B127" s="10"/>
      <c r="C127" s="10"/>
      <c r="D127" s="10"/>
    </row>
    <row r="128" spans="1:4" ht="37.5" customHeight="1">
      <c r="A128" s="10"/>
      <c r="B128" s="10"/>
      <c r="C128" s="10"/>
      <c r="D128" s="10"/>
    </row>
    <row r="129" spans="1:4" ht="37.5" customHeight="1">
      <c r="A129" s="10"/>
      <c r="B129" s="10"/>
      <c r="C129" s="10"/>
      <c r="D129" s="10"/>
    </row>
    <row r="130" spans="1:4" ht="37.5" customHeight="1">
      <c r="A130" s="10"/>
      <c r="B130" s="10"/>
      <c r="C130" s="10"/>
      <c r="D130" s="10"/>
    </row>
    <row r="131" spans="1:4" ht="36" customHeight="1">
      <c r="A131" s="10"/>
      <c r="B131" s="10"/>
      <c r="C131" s="10"/>
      <c r="D131" s="10"/>
    </row>
    <row r="132" spans="1:4" ht="13.5">
      <c r="A132" s="10"/>
      <c r="B132" s="10"/>
      <c r="C132" s="10"/>
      <c r="D132" s="10"/>
    </row>
    <row r="133" spans="1:4" ht="13.5">
      <c r="A133" s="10"/>
      <c r="B133" s="10"/>
      <c r="C133" s="10"/>
      <c r="D133" s="10"/>
    </row>
    <row r="134" spans="1:4" ht="26.25" customHeight="1">
      <c r="A134" s="10"/>
      <c r="B134" s="10"/>
      <c r="C134" s="10"/>
      <c r="D134" s="10"/>
    </row>
    <row r="135" spans="1:4" ht="29.25" customHeight="1">
      <c r="A135" s="10"/>
      <c r="B135" s="10"/>
      <c r="C135" s="10"/>
      <c r="D135" s="10"/>
    </row>
    <row r="136" spans="1:4" ht="39" customHeight="1">
      <c r="A136" s="10"/>
      <c r="B136" s="10"/>
      <c r="C136" s="10"/>
      <c r="D136" s="10"/>
    </row>
    <row r="137" spans="1:4" ht="13.5">
      <c r="A137" s="10"/>
      <c r="B137" s="10"/>
      <c r="C137" s="10"/>
      <c r="D137" s="10"/>
    </row>
    <row r="138" spans="1:4" ht="13.5">
      <c r="A138" s="10"/>
      <c r="B138" s="10"/>
      <c r="C138" s="10"/>
      <c r="D138" s="10"/>
    </row>
    <row r="139" spans="1:4" ht="13.5">
      <c r="A139" s="10"/>
      <c r="B139" s="10"/>
      <c r="C139" s="10"/>
      <c r="D139" s="10"/>
    </row>
    <row r="140" spans="1:4" ht="13.5">
      <c r="A140" s="10"/>
      <c r="B140" s="10"/>
      <c r="C140" s="10"/>
      <c r="D140" s="10"/>
    </row>
    <row r="141" spans="1:4" ht="27.75" customHeight="1">
      <c r="A141" s="10"/>
      <c r="B141" s="10"/>
      <c r="C141" s="10"/>
      <c r="D141" s="10"/>
    </row>
    <row r="142" spans="1:4" ht="13.5">
      <c r="A142" s="10"/>
      <c r="B142" s="10"/>
      <c r="C142" s="10"/>
      <c r="D142" s="10"/>
    </row>
    <row r="143" spans="1:4" ht="13.5">
      <c r="A143" s="10"/>
      <c r="B143" s="10"/>
      <c r="C143" s="10"/>
      <c r="D143" s="10"/>
    </row>
    <row r="144" spans="1:4" ht="13.5">
      <c r="A144" s="10"/>
      <c r="B144" s="10"/>
      <c r="C144" s="10"/>
      <c r="D144" s="10"/>
    </row>
    <row r="145" spans="1:4" ht="13.5">
      <c r="A145" s="10"/>
      <c r="B145" s="10"/>
      <c r="C145" s="10"/>
      <c r="D145" s="10"/>
    </row>
    <row r="146" spans="1:4" ht="13.5">
      <c r="A146" s="10"/>
      <c r="B146" s="10"/>
      <c r="C146" s="10"/>
      <c r="D146" s="10"/>
    </row>
    <row r="147" spans="1:4" ht="13.5">
      <c r="A147" s="10"/>
      <c r="B147" s="10"/>
      <c r="C147" s="10"/>
      <c r="D147" s="10"/>
    </row>
    <row r="148" spans="1:4" ht="13.5">
      <c r="A148" s="10"/>
      <c r="B148" s="10"/>
      <c r="C148" s="10"/>
      <c r="D148" s="10"/>
    </row>
    <row r="149" spans="1:4" ht="13.5">
      <c r="A149" s="10"/>
      <c r="B149" s="10"/>
      <c r="C149" s="10"/>
      <c r="D149" s="10"/>
    </row>
    <row r="150" spans="1:4" ht="37.5" customHeight="1">
      <c r="A150" s="10"/>
      <c r="B150" s="10"/>
      <c r="C150" s="10"/>
      <c r="D150" s="10"/>
    </row>
    <row r="151" spans="1:4" ht="48" customHeight="1">
      <c r="A151" s="10"/>
      <c r="B151" s="10"/>
      <c r="C151" s="10"/>
      <c r="D151" s="10"/>
    </row>
    <row r="152" spans="1:4" ht="13.5">
      <c r="A152" s="10"/>
      <c r="B152" s="10"/>
      <c r="C152" s="10"/>
      <c r="D152" s="10"/>
    </row>
    <row r="153" spans="1:4" ht="31.5" customHeight="1">
      <c r="A153" s="10"/>
      <c r="B153" s="10"/>
      <c r="C153" s="10"/>
      <c r="D153" s="10"/>
    </row>
    <row r="154" spans="1:4" ht="29.25" customHeight="1">
      <c r="A154" s="10"/>
      <c r="B154" s="10"/>
      <c r="C154" s="10"/>
      <c r="D154" s="10"/>
    </row>
    <row r="155" spans="1:4" ht="66" customHeight="1">
      <c r="A155" s="10"/>
      <c r="B155" s="10"/>
      <c r="C155" s="10"/>
      <c r="D155" s="10"/>
    </row>
    <row r="156" spans="1:4" ht="57" customHeight="1">
      <c r="A156" s="10"/>
      <c r="B156" s="10"/>
      <c r="C156" s="10"/>
      <c r="D156" s="10"/>
    </row>
    <row r="157" spans="1:4" ht="33.75" customHeight="1">
      <c r="A157" s="10"/>
      <c r="B157" s="10"/>
      <c r="C157" s="10"/>
      <c r="D157" s="10"/>
    </row>
    <row r="158" spans="1:4" ht="13.5">
      <c r="A158" s="10"/>
      <c r="B158" s="10"/>
      <c r="C158" s="10"/>
      <c r="D158" s="10"/>
    </row>
    <row r="159" spans="1:4" ht="49.5" customHeight="1">
      <c r="A159" s="10"/>
      <c r="B159" s="10"/>
      <c r="C159" s="10"/>
      <c r="D159" s="10"/>
    </row>
    <row r="160" spans="1:4" ht="54.75" customHeight="1">
      <c r="A160" s="10"/>
      <c r="B160" s="10"/>
      <c r="C160" s="10"/>
      <c r="D160" s="10"/>
    </row>
    <row r="161" spans="1:4" ht="54.75" customHeight="1">
      <c r="A161" s="10"/>
      <c r="B161" s="10"/>
      <c r="C161" s="10"/>
      <c r="D161" s="10"/>
    </row>
    <row r="162" spans="1:4" ht="13.5">
      <c r="A162" s="10"/>
      <c r="B162" s="10"/>
      <c r="C162" s="10"/>
      <c r="D162" s="10"/>
    </row>
    <row r="163" spans="1:4" ht="13.5">
      <c r="A163" s="10"/>
      <c r="B163" s="10"/>
      <c r="C163" s="10"/>
      <c r="D163" s="10"/>
    </row>
    <row r="164" spans="1:4" ht="51.75" customHeight="1">
      <c r="A164" s="10"/>
      <c r="B164" s="10"/>
      <c r="C164" s="10"/>
      <c r="D164" s="10"/>
    </row>
    <row r="165" spans="1:4" ht="51" customHeight="1">
      <c r="A165" s="10"/>
      <c r="B165" s="10"/>
      <c r="C165" s="10"/>
      <c r="D165" s="10"/>
    </row>
    <row r="166" spans="1:4" ht="51" customHeight="1">
      <c r="A166" s="10"/>
      <c r="B166" s="10"/>
      <c r="C166" s="10"/>
      <c r="D166" s="10"/>
    </row>
    <row r="167" spans="1:4" ht="13.5">
      <c r="A167" s="10"/>
      <c r="B167" s="10"/>
      <c r="C167" s="10"/>
      <c r="D167" s="10"/>
    </row>
    <row r="168" spans="1:4" ht="13.5">
      <c r="A168" s="10"/>
      <c r="B168" s="10"/>
      <c r="C168" s="10"/>
      <c r="D168" s="10"/>
    </row>
    <row r="169" spans="1:4" ht="13.5">
      <c r="A169" s="10"/>
      <c r="B169" s="10"/>
      <c r="C169" s="10"/>
      <c r="D169" s="10"/>
    </row>
    <row r="170" spans="1:4" ht="13.5">
      <c r="A170" s="10"/>
      <c r="B170" s="10"/>
      <c r="C170" s="10"/>
      <c r="D170" s="10"/>
    </row>
    <row r="171" spans="1:4" ht="30.75" customHeight="1">
      <c r="A171" s="10"/>
      <c r="B171" s="10"/>
      <c r="C171" s="10"/>
      <c r="D171" s="10"/>
    </row>
    <row r="172" spans="1:4" ht="27" customHeight="1">
      <c r="A172" s="10"/>
      <c r="B172" s="10"/>
      <c r="C172" s="10"/>
      <c r="D172" s="10"/>
    </row>
    <row r="173" spans="1:4" ht="24" customHeight="1">
      <c r="A173" s="10"/>
      <c r="B173" s="10"/>
      <c r="C173" s="10"/>
      <c r="D173" s="10"/>
    </row>
    <row r="174" spans="1:4" ht="27.75" customHeight="1">
      <c r="A174" s="10"/>
      <c r="B174" s="10"/>
      <c r="C174" s="10"/>
      <c r="D174" s="10"/>
    </row>
    <row r="175" spans="1:4" ht="13.5" customHeight="1">
      <c r="A175" s="10"/>
      <c r="B175" s="10"/>
      <c r="C175" s="10"/>
      <c r="D175" s="10"/>
    </row>
    <row r="176" spans="1:4" ht="13.5">
      <c r="A176" s="10"/>
      <c r="B176" s="10"/>
      <c r="C176" s="10"/>
      <c r="D176" s="10"/>
    </row>
    <row r="177" spans="1:4" ht="13.5">
      <c r="A177" s="10"/>
      <c r="B177" s="10"/>
      <c r="C177" s="10"/>
      <c r="D177" s="10"/>
    </row>
    <row r="178" spans="1:4" ht="13.5">
      <c r="A178" s="10"/>
      <c r="B178" s="10"/>
      <c r="C178" s="10"/>
      <c r="D178" s="10"/>
    </row>
    <row r="179" spans="1:4" ht="13.5">
      <c r="A179" s="10"/>
      <c r="B179" s="10"/>
      <c r="C179" s="10"/>
      <c r="D179" s="10"/>
    </row>
    <row r="180" spans="1:4" ht="19.5" customHeight="1">
      <c r="A180" s="10"/>
      <c r="B180" s="10"/>
      <c r="C180" s="10"/>
      <c r="D180" s="10"/>
    </row>
    <row r="181" spans="1:4" ht="29.25" customHeight="1">
      <c r="A181" s="10"/>
      <c r="B181" s="10"/>
      <c r="C181" s="10"/>
      <c r="D181" s="10"/>
    </row>
    <row r="182" spans="1:4" ht="31.5" customHeight="1">
      <c r="A182" s="10"/>
      <c r="B182" s="10"/>
      <c r="C182" s="10"/>
      <c r="D182" s="10"/>
    </row>
    <row r="183" spans="1:4" ht="25.5" customHeight="1">
      <c r="A183" s="10"/>
      <c r="B183" s="10"/>
      <c r="C183" s="10"/>
      <c r="D183" s="10"/>
    </row>
    <row r="184" spans="1:4" ht="32.25" customHeight="1">
      <c r="A184" s="10"/>
      <c r="B184" s="10"/>
      <c r="C184" s="10"/>
      <c r="D184" s="10"/>
    </row>
    <row r="185" spans="1:4" ht="30" customHeight="1">
      <c r="A185" s="10"/>
      <c r="B185" s="10"/>
      <c r="C185" s="10"/>
      <c r="D185" s="10"/>
    </row>
    <row r="186" spans="1:4" ht="33" customHeight="1">
      <c r="A186" s="10"/>
      <c r="B186" s="10"/>
      <c r="C186" s="10"/>
      <c r="D186" s="10"/>
    </row>
    <row r="187" spans="1:4" ht="56.25" customHeight="1">
      <c r="A187" s="10"/>
      <c r="B187" s="10"/>
      <c r="C187" s="10"/>
      <c r="D187" s="10"/>
    </row>
    <row r="188" spans="1:4" ht="62.25" customHeight="1">
      <c r="A188" s="10"/>
      <c r="B188" s="10"/>
      <c r="C188" s="10"/>
      <c r="D188" s="10"/>
    </row>
    <row r="189" spans="1:4" ht="58.5" customHeight="1">
      <c r="A189" s="10"/>
      <c r="B189" s="10"/>
      <c r="C189" s="10"/>
      <c r="D189" s="10"/>
    </row>
    <row r="190" spans="1:4" ht="63" customHeight="1">
      <c r="A190" s="10"/>
      <c r="B190" s="10"/>
      <c r="C190" s="10"/>
      <c r="D190" s="10"/>
    </row>
    <row r="191" spans="1:4" ht="63" customHeight="1">
      <c r="A191" s="10"/>
      <c r="B191" s="10"/>
      <c r="C191" s="10"/>
      <c r="D191" s="10"/>
    </row>
    <row r="192" spans="1:4" ht="44.25" customHeight="1">
      <c r="A192" s="10"/>
      <c r="B192" s="10"/>
      <c r="C192" s="10"/>
      <c r="D192" s="10"/>
    </row>
    <row r="193" spans="1:4" ht="31.5" customHeight="1">
      <c r="A193" s="10"/>
      <c r="B193" s="10"/>
      <c r="C193" s="10"/>
      <c r="D193" s="10"/>
    </row>
    <row r="194" spans="1:4" ht="31.5" customHeight="1">
      <c r="A194" s="10"/>
      <c r="B194" s="10"/>
      <c r="C194" s="10"/>
      <c r="D194" s="10"/>
    </row>
    <row r="195" spans="1:4" ht="13.5">
      <c r="A195" s="10"/>
      <c r="B195" s="10"/>
      <c r="C195" s="10"/>
      <c r="D195" s="10"/>
    </row>
    <row r="196" spans="1:4" ht="66.75" customHeight="1">
      <c r="A196" s="10"/>
      <c r="B196" s="10"/>
      <c r="C196" s="10"/>
      <c r="D196" s="10"/>
    </row>
    <row r="197" spans="1:4" ht="51.75" customHeight="1">
      <c r="A197" s="10"/>
      <c r="B197" s="10"/>
      <c r="C197" s="10"/>
      <c r="D197" s="10"/>
    </row>
    <row r="198" spans="1:4" ht="46.5" customHeight="1">
      <c r="A198" s="10"/>
      <c r="B198" s="10"/>
      <c r="C198" s="10"/>
      <c r="D198" s="10"/>
    </row>
    <row r="199" spans="1:4" ht="42.75" customHeight="1">
      <c r="A199" s="10"/>
      <c r="B199" s="10"/>
      <c r="C199" s="10"/>
      <c r="D199" s="10"/>
    </row>
    <row r="200" spans="1:4" ht="36" customHeight="1">
      <c r="A200" s="10"/>
      <c r="B200" s="10"/>
      <c r="C200" s="10"/>
      <c r="D200" s="10"/>
    </row>
    <row r="201" spans="1:4" ht="13.5">
      <c r="A201" s="10"/>
      <c r="B201" s="10"/>
      <c r="C201" s="10"/>
      <c r="D201" s="10"/>
    </row>
    <row r="202" spans="1:4" ht="13.5">
      <c r="A202" s="10"/>
      <c r="B202" s="10"/>
      <c r="C202" s="10"/>
      <c r="D202" s="10"/>
    </row>
    <row r="203" spans="1:4" ht="13.5">
      <c r="A203" s="10"/>
      <c r="B203" s="10"/>
      <c r="C203" s="10"/>
      <c r="D203" s="10"/>
    </row>
    <row r="204" spans="1:4" ht="13.5">
      <c r="A204" s="10"/>
      <c r="B204" s="10"/>
      <c r="C204" s="10"/>
      <c r="D204" s="10"/>
    </row>
    <row r="205" spans="1:4" ht="31.5" customHeight="1">
      <c r="A205" s="10"/>
      <c r="B205" s="10"/>
      <c r="C205" s="10"/>
      <c r="D205" s="10"/>
    </row>
    <row r="206" spans="1:4" ht="33.75" customHeight="1">
      <c r="A206" s="10"/>
      <c r="B206" s="10"/>
      <c r="C206" s="10"/>
      <c r="D206" s="10"/>
    </row>
    <row r="207" spans="1:4" ht="24.75" customHeight="1">
      <c r="A207" s="10"/>
      <c r="B207" s="10"/>
      <c r="C207" s="10"/>
      <c r="D207" s="10"/>
    </row>
    <row r="208" spans="1:4" ht="36" customHeight="1">
      <c r="A208" s="10"/>
      <c r="B208" s="10"/>
      <c r="C208" s="10"/>
      <c r="D208" s="10"/>
    </row>
    <row r="209" spans="1:4" ht="13.5">
      <c r="A209" s="10"/>
      <c r="B209" s="10"/>
      <c r="C209" s="10"/>
      <c r="D209" s="10"/>
    </row>
    <row r="210" spans="1:4" ht="18.75" customHeight="1">
      <c r="A210" s="10"/>
      <c r="B210" s="10"/>
      <c r="C210" s="10"/>
      <c r="D210" s="10"/>
    </row>
    <row r="211" spans="1:4" ht="13.5">
      <c r="A211" s="10"/>
      <c r="B211" s="10"/>
      <c r="C211" s="10"/>
      <c r="D211" s="10"/>
    </row>
    <row r="212" spans="1:4" ht="13.5">
      <c r="A212" s="10"/>
      <c r="B212" s="10"/>
      <c r="C212" s="10"/>
      <c r="D212" s="10"/>
    </row>
    <row r="213" spans="1:4" ht="13.5">
      <c r="A213" s="10"/>
      <c r="B213" s="10"/>
      <c r="C213" s="10"/>
      <c r="D213" s="10"/>
    </row>
    <row r="214" spans="1:4" ht="45.75" customHeight="1">
      <c r="A214" s="10"/>
      <c r="B214" s="10"/>
      <c r="C214" s="10"/>
      <c r="D214" s="10"/>
    </row>
    <row r="215" spans="1:4" ht="46.5" customHeight="1">
      <c r="A215" s="10"/>
      <c r="B215" s="10"/>
      <c r="C215" s="10"/>
      <c r="D215" s="10"/>
    </row>
    <row r="216" spans="1:4" ht="51" customHeight="1">
      <c r="A216" s="10"/>
      <c r="B216" s="10"/>
      <c r="C216" s="10"/>
      <c r="D216" s="10"/>
    </row>
    <row r="217" spans="1:4" ht="55.5" customHeight="1">
      <c r="A217" s="10"/>
      <c r="B217" s="10"/>
      <c r="C217" s="10"/>
      <c r="D217" s="10"/>
    </row>
    <row r="218" spans="1:4" ht="28.5" customHeight="1">
      <c r="A218" s="10"/>
      <c r="B218" s="10"/>
      <c r="C218" s="10"/>
      <c r="D218" s="10"/>
    </row>
    <row r="219" spans="1:4" ht="32.25" customHeight="1">
      <c r="A219" s="10"/>
      <c r="B219" s="10"/>
      <c r="C219" s="10"/>
      <c r="D219" s="10"/>
    </row>
    <row r="220" spans="1:4" ht="22.5" customHeight="1">
      <c r="A220" s="10"/>
      <c r="B220" s="10"/>
      <c r="C220" s="10"/>
      <c r="D220" s="10"/>
    </row>
    <row r="221" spans="1:4" ht="13.5">
      <c r="A221" s="10"/>
      <c r="B221" s="10"/>
      <c r="C221" s="10"/>
      <c r="D221" s="10"/>
    </row>
    <row r="222" spans="1:4" ht="21" customHeight="1">
      <c r="A222" s="10"/>
      <c r="B222" s="10"/>
      <c r="C222" s="10"/>
      <c r="D222" s="10"/>
    </row>
    <row r="223" spans="1:4" ht="13.5">
      <c r="A223" s="10"/>
      <c r="B223" s="10"/>
      <c r="C223" s="10"/>
      <c r="D223" s="10"/>
    </row>
    <row r="224" spans="1:4" ht="13.5">
      <c r="A224" s="10"/>
      <c r="B224" s="10"/>
      <c r="C224" s="10"/>
      <c r="D224" s="10"/>
    </row>
    <row r="225" spans="1:4" ht="19.5" customHeight="1">
      <c r="A225" s="10"/>
      <c r="B225" s="10"/>
      <c r="C225" s="10"/>
      <c r="D225" s="10"/>
    </row>
    <row r="226" spans="1:4" ht="21" customHeight="1">
      <c r="A226" s="10"/>
      <c r="B226" s="10"/>
      <c r="C226" s="10"/>
      <c r="D226" s="10"/>
    </row>
    <row r="227" spans="1:4" ht="50.25" customHeight="1">
      <c r="A227" s="10"/>
      <c r="B227" s="10"/>
      <c r="C227" s="10"/>
      <c r="D227" s="10"/>
    </row>
    <row r="228" spans="1:4" ht="32.25" customHeight="1">
      <c r="A228" s="10"/>
      <c r="B228" s="10"/>
      <c r="C228" s="10"/>
      <c r="D228" s="10"/>
    </row>
    <row r="229" spans="1:4" ht="13.5">
      <c r="A229" s="10"/>
      <c r="B229" s="10"/>
      <c r="C229" s="10"/>
      <c r="D229" s="10"/>
    </row>
    <row r="230" spans="1:4" ht="27.75" customHeight="1">
      <c r="A230" s="10"/>
      <c r="B230" s="10"/>
      <c r="C230" s="10"/>
      <c r="D230" s="10"/>
    </row>
    <row r="231" spans="1:4" ht="18.75" customHeight="1">
      <c r="A231" s="10"/>
      <c r="B231" s="10"/>
      <c r="C231" s="10"/>
      <c r="D231" s="10"/>
    </row>
    <row r="232" spans="1:4" ht="13.5">
      <c r="A232" s="10"/>
      <c r="B232" s="10"/>
      <c r="C232" s="10"/>
      <c r="D232" s="10"/>
    </row>
    <row r="233" spans="1:4" ht="26.25" customHeight="1">
      <c r="A233" s="10"/>
      <c r="B233" s="10"/>
      <c r="C233" s="10"/>
      <c r="D233" s="10"/>
    </row>
    <row r="234" s="180" customFormat="1" ht="18.75" customHeight="1"/>
    <row r="235" s="180" customFormat="1" ht="12.75"/>
    <row r="236" s="180" customFormat="1" ht="12.75"/>
    <row r="237" s="180" customFormat="1" ht="12.75"/>
    <row r="238" s="180" customFormat="1" ht="12.75"/>
    <row r="239" s="180" customFormat="1" ht="38.25" customHeight="1"/>
    <row r="240" s="180" customFormat="1" ht="38.25" customHeight="1"/>
    <row r="241" s="180" customFormat="1" ht="44.25" customHeight="1"/>
    <row r="242" spans="1:4" ht="49.5" customHeight="1">
      <c r="A242" s="10"/>
      <c r="B242" s="10"/>
      <c r="C242" s="10"/>
      <c r="D242" s="10"/>
    </row>
    <row r="243" spans="1:4" ht="42.75" customHeight="1">
      <c r="A243" s="10"/>
      <c r="B243" s="10"/>
      <c r="C243" s="10"/>
      <c r="D243" s="10"/>
    </row>
    <row r="244" spans="1:4" ht="13.5">
      <c r="A244" s="10"/>
      <c r="B244" s="10"/>
      <c r="C244" s="10"/>
      <c r="D244" s="10"/>
    </row>
    <row r="245" spans="1:4" ht="24" customHeight="1">
      <c r="A245" s="10"/>
      <c r="B245" s="10"/>
      <c r="C245" s="10"/>
      <c r="D245" s="10"/>
    </row>
    <row r="246" spans="1:4" ht="56.25" customHeight="1">
      <c r="A246" s="10"/>
      <c r="B246" s="10"/>
      <c r="C246" s="10"/>
      <c r="D246" s="10"/>
    </row>
    <row r="247" spans="1:4" ht="55.5" customHeight="1">
      <c r="A247" s="10"/>
      <c r="B247" s="10"/>
      <c r="C247" s="10"/>
      <c r="D247" s="10"/>
    </row>
    <row r="248" spans="1:4" ht="42.75" customHeight="1">
      <c r="A248" s="10"/>
      <c r="B248" s="10"/>
      <c r="C248" s="10"/>
      <c r="D248" s="10"/>
    </row>
    <row r="249" spans="1:4" ht="27.75" customHeight="1">
      <c r="A249" s="10"/>
      <c r="B249" s="10"/>
      <c r="C249" s="10"/>
      <c r="D249" s="10"/>
    </row>
    <row r="250" spans="1:4" ht="13.5">
      <c r="A250" s="10"/>
      <c r="B250" s="10"/>
      <c r="C250" s="10"/>
      <c r="D250" s="10"/>
    </row>
    <row r="251" spans="1:4" ht="13.5">
      <c r="A251" s="10"/>
      <c r="B251" s="10"/>
      <c r="C251" s="10"/>
      <c r="D251" s="10"/>
    </row>
    <row r="252" spans="1:4" ht="13.5">
      <c r="A252" s="10"/>
      <c r="B252" s="10"/>
      <c r="C252" s="10"/>
      <c r="D252" s="10"/>
    </row>
    <row r="253" spans="1:4" ht="13.5">
      <c r="A253" s="10"/>
      <c r="B253" s="10"/>
      <c r="C253" s="10"/>
      <c r="D253" s="10"/>
    </row>
    <row r="254" spans="1:4" ht="13.5">
      <c r="A254" s="10"/>
      <c r="B254" s="10"/>
      <c r="C254" s="10"/>
      <c r="D254" s="10"/>
    </row>
    <row r="255" spans="1:4" ht="31.5" customHeight="1">
      <c r="A255" s="10"/>
      <c r="B255" s="10"/>
      <c r="C255" s="10"/>
      <c r="D255" s="10"/>
    </row>
    <row r="256" spans="1:4" ht="41.25" customHeight="1">
      <c r="A256" s="10"/>
      <c r="B256" s="10"/>
      <c r="C256" s="10"/>
      <c r="D256" s="10"/>
    </row>
    <row r="257" spans="1:4" ht="38.25" customHeight="1">
      <c r="A257" s="10"/>
      <c r="B257" s="10"/>
      <c r="C257" s="10"/>
      <c r="D257" s="10"/>
    </row>
    <row r="258" spans="1:4" ht="13.5">
      <c r="A258" s="10"/>
      <c r="B258" s="10"/>
      <c r="C258" s="10"/>
      <c r="D258" s="10"/>
    </row>
    <row r="259" spans="1:4" ht="33.75" customHeight="1">
      <c r="A259" s="10"/>
      <c r="B259" s="10"/>
      <c r="C259" s="10"/>
      <c r="D259" s="10"/>
    </row>
    <row r="260" spans="1:4" ht="27.75" customHeight="1">
      <c r="A260" s="10"/>
      <c r="B260" s="10"/>
      <c r="C260" s="10"/>
      <c r="D260" s="10"/>
    </row>
    <row r="261" spans="1:4" ht="31.5" customHeight="1">
      <c r="A261" s="10"/>
      <c r="B261" s="10"/>
      <c r="C261" s="10"/>
      <c r="D261" s="10"/>
    </row>
    <row r="262" spans="1:4" ht="31.5" customHeight="1">
      <c r="A262" s="10"/>
      <c r="B262" s="10"/>
      <c r="C262" s="10"/>
      <c r="D262" s="10"/>
    </row>
    <row r="263" spans="1:4" ht="13.5">
      <c r="A263" s="10"/>
      <c r="B263" s="10"/>
      <c r="C263" s="10"/>
      <c r="D263" s="10"/>
    </row>
    <row r="264" spans="1:4" ht="13.5">
      <c r="A264" s="10"/>
      <c r="B264" s="10"/>
      <c r="C264" s="10"/>
      <c r="D264" s="10"/>
    </row>
    <row r="265" spans="1:4" ht="54.75" customHeight="1">
      <c r="A265" s="10"/>
      <c r="B265" s="10"/>
      <c r="C265" s="10"/>
      <c r="D265" s="10"/>
    </row>
    <row r="266" spans="1:4" ht="51.75" customHeight="1">
      <c r="A266" s="10"/>
      <c r="B266" s="10"/>
      <c r="C266" s="10"/>
      <c r="D266" s="10"/>
    </row>
    <row r="267" spans="1:4" ht="13.5">
      <c r="A267" s="10"/>
      <c r="B267" s="10"/>
      <c r="C267" s="10"/>
      <c r="D267" s="10"/>
    </row>
    <row r="268" spans="1:4" ht="13.5">
      <c r="A268" s="10"/>
      <c r="B268" s="10"/>
      <c r="C268" s="10"/>
      <c r="D268" s="10"/>
    </row>
    <row r="269" spans="1:4" ht="13.5">
      <c r="A269" s="10"/>
      <c r="B269" s="10"/>
      <c r="C269" s="10"/>
      <c r="D269" s="10"/>
    </row>
    <row r="270" spans="1:4" ht="13.5">
      <c r="A270" s="10"/>
      <c r="B270" s="10"/>
      <c r="C270" s="10"/>
      <c r="D270" s="10"/>
    </row>
    <row r="271" spans="1:4" ht="65.25" customHeight="1">
      <c r="A271" s="10"/>
      <c r="B271" s="10"/>
      <c r="C271" s="10"/>
      <c r="D271" s="10"/>
    </row>
    <row r="272" spans="1:4" ht="69.75" customHeight="1">
      <c r="A272" s="10"/>
      <c r="B272" s="10"/>
      <c r="C272" s="10"/>
      <c r="D272" s="10"/>
    </row>
    <row r="273" s="180" customFormat="1" ht="57" customHeight="1"/>
    <row r="274" s="180" customFormat="1" ht="60.75" customHeight="1"/>
    <row r="275" spans="1:4" ht="13.5">
      <c r="A275" s="10"/>
      <c r="B275" s="10"/>
      <c r="C275" s="10"/>
      <c r="D275" s="10"/>
    </row>
    <row r="276" spans="1:4" ht="36" customHeight="1">
      <c r="A276" s="10"/>
      <c r="B276" s="10"/>
      <c r="C276" s="10"/>
      <c r="D276" s="10"/>
    </row>
    <row r="277" spans="1:4" ht="13.5">
      <c r="A277" s="10"/>
      <c r="B277" s="10"/>
      <c r="C277" s="10"/>
      <c r="D277" s="10"/>
    </row>
    <row r="278" spans="1:4" ht="13.5">
      <c r="A278" s="10"/>
      <c r="B278" s="10"/>
      <c r="C278" s="10"/>
      <c r="D278" s="10"/>
    </row>
    <row r="279" spans="1:4" ht="13.5">
      <c r="A279" s="10"/>
      <c r="B279" s="10"/>
      <c r="C279" s="10"/>
      <c r="D279" s="10"/>
    </row>
    <row r="280" s="180" customFormat="1" ht="26.25" customHeight="1"/>
    <row r="281" s="180" customFormat="1" ht="12.75"/>
    <row r="282" spans="1:4" ht="57" customHeight="1">
      <c r="A282" s="10"/>
      <c r="B282" s="10"/>
      <c r="C282" s="10"/>
      <c r="D282" s="10"/>
    </row>
    <row r="283" spans="1:4" ht="71.25" customHeight="1">
      <c r="A283" s="10"/>
      <c r="B283" s="10"/>
      <c r="C283" s="10"/>
      <c r="D283" s="10"/>
    </row>
    <row r="284" s="180" customFormat="1" ht="12.75"/>
    <row r="285" s="180" customFormat="1" ht="46.5" customHeight="1"/>
    <row r="286" spans="1:4" ht="13.5">
      <c r="A286" s="10"/>
      <c r="B286" s="10"/>
      <c r="C286" s="10"/>
      <c r="D286" s="10"/>
    </row>
    <row r="287" spans="1:4" ht="13.5">
      <c r="A287" s="10"/>
      <c r="B287" s="10"/>
      <c r="C287" s="10"/>
      <c r="D287" s="10"/>
    </row>
    <row r="288" spans="1:4" ht="13.5">
      <c r="A288" s="10"/>
      <c r="B288" s="10"/>
      <c r="C288" s="10"/>
      <c r="D288" s="10"/>
    </row>
    <row r="289" spans="1:4" ht="13.5">
      <c r="A289" s="10"/>
      <c r="B289" s="10"/>
      <c r="C289" s="10"/>
      <c r="D289" s="10"/>
    </row>
    <row r="290" spans="1:4" ht="25.5" customHeight="1">
      <c r="A290" s="10"/>
      <c r="B290" s="10"/>
      <c r="C290" s="10"/>
      <c r="D290" s="10"/>
    </row>
    <row r="291" spans="1:4" ht="13.5">
      <c r="A291" s="10"/>
      <c r="B291" s="10"/>
      <c r="C291" s="10"/>
      <c r="D291" s="10"/>
    </row>
    <row r="292" spans="1:4" ht="13.5">
      <c r="A292" s="10"/>
      <c r="B292" s="10"/>
      <c r="C292" s="10"/>
      <c r="D292" s="10"/>
    </row>
    <row r="293" spans="1:4" ht="13.5">
      <c r="A293" s="10"/>
      <c r="B293" s="10"/>
      <c r="C293" s="10"/>
      <c r="D293" s="10"/>
    </row>
    <row r="294" spans="1:4" ht="44.25" customHeight="1">
      <c r="A294" s="10"/>
      <c r="B294" s="10"/>
      <c r="C294" s="10"/>
      <c r="D294" s="10"/>
    </row>
    <row r="295" spans="1:4" ht="34.5" customHeight="1">
      <c r="A295" s="10"/>
      <c r="B295" s="10"/>
      <c r="C295" s="10"/>
      <c r="D295" s="10"/>
    </row>
    <row r="296" spans="1:4" ht="13.5">
      <c r="A296" s="10"/>
      <c r="B296" s="10"/>
      <c r="C296" s="10"/>
      <c r="D296" s="10"/>
    </row>
  </sheetData>
  <sheetProtection/>
  <mergeCells count="3">
    <mergeCell ref="A5:D5"/>
    <mergeCell ref="A6:D6"/>
    <mergeCell ref="A7:D7"/>
  </mergeCells>
  <dataValidations count="1">
    <dataValidation allowBlank="1" promptTitle="Расчетное значение" prompt="Считается автоматически" sqref="D10:D122"/>
  </dataValidations>
  <printOptions horizontalCentered="1"/>
  <pageMargins left="0.4330708661417323" right="0.1968503937007874" top="0.8661417322834646" bottom="0.8267716535433072" header="0.7480314960629921" footer="0.62"/>
  <pageSetup firstPageNumber="12" useFirstPageNumber="1" horizontalDpi="600" verticalDpi="600" orientation="landscape" paperSize="9" scale="9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W1179"/>
  <sheetViews>
    <sheetView showGridLines="0" showZeros="0" zoomScale="85" zoomScaleNormal="85" zoomScaleSheetLayoutView="75" zoomScalePageLayoutView="0" workbookViewId="0" topLeftCell="A4">
      <selection activeCell="A10" sqref="A10:J10"/>
    </sheetView>
  </sheetViews>
  <sheetFormatPr defaultColWidth="9.50390625" defaultRowHeight="12.75"/>
  <cols>
    <col min="1" max="1" width="39.25390625" style="352" customWidth="1"/>
    <col min="2" max="3" width="3.50390625" style="353" customWidth="1"/>
    <col min="4" max="4" width="11.50390625" style="353" customWidth="1"/>
    <col min="5" max="5" width="3.50390625" style="353" customWidth="1"/>
    <col min="6" max="6" width="13.00390625" style="353" customWidth="1"/>
    <col min="7" max="8" width="12.50390625" style="354" customWidth="1"/>
    <col min="9" max="9" width="14.50390625" style="233" customWidth="1"/>
    <col min="10" max="10" width="11.75390625" style="233" customWidth="1"/>
    <col min="11" max="11" width="17.50390625" style="355" customWidth="1"/>
    <col min="12" max="12" width="15.50390625" style="356" customWidth="1"/>
    <col min="13" max="13" width="6.125" style="355" customWidth="1"/>
    <col min="14" max="14" width="14.00390625" style="355" customWidth="1"/>
    <col min="15" max="15" width="15.50390625" style="355" customWidth="1"/>
    <col min="16" max="23" width="9.50390625" style="355" customWidth="1"/>
    <col min="24" max="16384" width="9.50390625" style="233" customWidth="1"/>
  </cols>
  <sheetData>
    <row r="1" ht="15"/>
    <row r="2" spans="9:10" ht="15">
      <c r="I2" s="358" t="s">
        <v>751</v>
      </c>
      <c r="J2" s="359"/>
    </row>
    <row r="3" ht="15">
      <c r="I3" s="358" t="s">
        <v>912</v>
      </c>
    </row>
    <row r="4" spans="9:10" ht="15">
      <c r="I4" s="360" t="s">
        <v>1496</v>
      </c>
      <c r="J4" s="360"/>
    </row>
    <row r="5" spans="9:10" ht="9" customHeight="1" hidden="1">
      <c r="I5" s="361"/>
      <c r="J5" s="361"/>
    </row>
    <row r="6" spans="9:10" ht="13.5" customHeight="1" hidden="1">
      <c r="I6" s="358" t="s">
        <v>711</v>
      </c>
      <c r="J6" s="359"/>
    </row>
    <row r="7" ht="14.25" customHeight="1" hidden="1">
      <c r="I7" s="358" t="s">
        <v>912</v>
      </c>
    </row>
    <row r="8" spans="9:10" ht="13.5" customHeight="1" hidden="1">
      <c r="I8" s="360" t="s">
        <v>712</v>
      </c>
      <c r="J8" s="360"/>
    </row>
    <row r="9" spans="9:10" ht="18.75" customHeight="1">
      <c r="I9" s="360"/>
      <c r="J9" s="360"/>
    </row>
    <row r="10" spans="1:10" ht="15.75" customHeight="1">
      <c r="A10" s="529" t="s">
        <v>752</v>
      </c>
      <c r="B10" s="529"/>
      <c r="C10" s="529"/>
      <c r="D10" s="529"/>
      <c r="E10" s="529"/>
      <c r="F10" s="529"/>
      <c r="G10" s="529"/>
      <c r="H10" s="529"/>
      <c r="I10" s="529"/>
      <c r="J10" s="529"/>
    </row>
    <row r="11" spans="1:10" ht="17.25" customHeight="1">
      <c r="A11" s="529" t="s">
        <v>713</v>
      </c>
      <c r="B11" s="529"/>
      <c r="C11" s="529"/>
      <c r="D11" s="529"/>
      <c r="E11" s="529"/>
      <c r="F11" s="529"/>
      <c r="G11" s="529"/>
      <c r="H11" s="529"/>
      <c r="I11" s="529"/>
      <c r="J11" s="529"/>
    </row>
    <row r="12" spans="1:10" ht="12" customHeight="1">
      <c r="A12" s="530" t="s">
        <v>714</v>
      </c>
      <c r="B12" s="530"/>
      <c r="C12" s="530"/>
      <c r="D12" s="530"/>
      <c r="E12" s="530"/>
      <c r="F12" s="530"/>
      <c r="G12" s="530"/>
      <c r="H12" s="530"/>
      <c r="I12" s="530"/>
      <c r="J12" s="530"/>
    </row>
    <row r="13" spans="1:10" ht="16.5" customHeight="1">
      <c r="A13" s="538" t="s">
        <v>715</v>
      </c>
      <c r="B13" s="538"/>
      <c r="C13" s="538"/>
      <c r="D13" s="538"/>
      <c r="E13" s="538"/>
      <c r="F13" s="538"/>
      <c r="G13" s="538"/>
      <c r="H13" s="538"/>
      <c r="I13" s="538"/>
      <c r="J13" s="538"/>
    </row>
    <row r="14" spans="1:10" ht="15.75" customHeight="1">
      <c r="A14" s="362"/>
      <c r="B14" s="362"/>
      <c r="C14" s="362"/>
      <c r="D14" s="362"/>
      <c r="E14" s="362"/>
      <c r="F14" s="362"/>
      <c r="G14" s="362"/>
      <c r="H14" s="362"/>
      <c r="I14" s="362"/>
      <c r="J14" s="362"/>
    </row>
    <row r="15" spans="1:10" ht="12" customHeight="1" thickBot="1">
      <c r="A15" s="233"/>
      <c r="B15" s="357"/>
      <c r="C15" s="357"/>
      <c r="D15" s="357"/>
      <c r="E15" s="357"/>
      <c r="F15" s="357"/>
      <c r="G15" s="357"/>
      <c r="H15" s="357"/>
      <c r="I15" s="357"/>
      <c r="J15" s="363" t="s">
        <v>1493</v>
      </c>
    </row>
    <row r="16" spans="1:23" s="366" customFormat="1" ht="12" customHeight="1">
      <c r="A16" s="539" t="s">
        <v>670</v>
      </c>
      <c r="B16" s="541" t="s">
        <v>716</v>
      </c>
      <c r="C16" s="542"/>
      <c r="D16" s="542"/>
      <c r="E16" s="543"/>
      <c r="F16" s="533" t="s">
        <v>671</v>
      </c>
      <c r="G16" s="531" t="s">
        <v>1170</v>
      </c>
      <c r="H16" s="531" t="s">
        <v>933</v>
      </c>
      <c r="I16" s="527" t="s">
        <v>559</v>
      </c>
      <c r="J16" s="528"/>
      <c r="K16" s="364"/>
      <c r="L16" s="365"/>
      <c r="M16" s="364"/>
      <c r="N16" s="364"/>
      <c r="O16" s="364"/>
      <c r="P16" s="364"/>
      <c r="Q16" s="364"/>
      <c r="R16" s="364"/>
      <c r="S16" s="364"/>
      <c r="T16" s="364"/>
      <c r="U16" s="364"/>
      <c r="V16" s="364"/>
      <c r="W16" s="364"/>
    </row>
    <row r="17" spans="1:23" s="366" customFormat="1" ht="60" customHeight="1" thickBot="1">
      <c r="A17" s="540"/>
      <c r="B17" s="367" t="s">
        <v>1171</v>
      </c>
      <c r="C17" s="367" t="s">
        <v>1172</v>
      </c>
      <c r="D17" s="367" t="s">
        <v>1173</v>
      </c>
      <c r="E17" s="367" t="s">
        <v>1174</v>
      </c>
      <c r="F17" s="534"/>
      <c r="G17" s="532"/>
      <c r="H17" s="532"/>
      <c r="I17" s="368" t="s">
        <v>560</v>
      </c>
      <c r="J17" s="369" t="s">
        <v>561</v>
      </c>
      <c r="K17" s="364"/>
      <c r="L17" s="365"/>
      <c r="M17" s="364"/>
      <c r="N17" s="364"/>
      <c r="O17" s="364"/>
      <c r="P17" s="364"/>
      <c r="Q17" s="364"/>
      <c r="R17" s="364"/>
      <c r="S17" s="364"/>
      <c r="T17" s="364"/>
      <c r="U17" s="364"/>
      <c r="V17" s="364"/>
      <c r="W17" s="364"/>
    </row>
    <row r="18" spans="1:15" ht="24.75" customHeight="1">
      <c r="A18" s="202" t="s">
        <v>1103</v>
      </c>
      <c r="B18" s="203"/>
      <c r="C18" s="203"/>
      <c r="D18" s="203"/>
      <c r="E18" s="203"/>
      <c r="F18" s="370">
        <f>F19+F150+F182+F254+F332+F343+F580+F658+F745+F897+F926+F949+F955</f>
        <v>4345428</v>
      </c>
      <c r="G18" s="370">
        <f>G19+G150+G182+G254+G332+G343+G580+G658+G745+G897+G926+G949+G955</f>
        <v>5193462.600000002</v>
      </c>
      <c r="H18" s="370">
        <f>H19+H150+H182+H254+H332+H343+H580+H658+H745+H897+H926+H949+H955</f>
        <v>4911921.4</v>
      </c>
      <c r="I18" s="370">
        <f>H18/F18*100</f>
        <v>113.03653863324857</v>
      </c>
      <c r="J18" s="370">
        <f>H18/G18*100</f>
        <v>94.57893082738283</v>
      </c>
      <c r="K18" s="371"/>
      <c r="L18" s="372"/>
      <c r="M18" s="372"/>
      <c r="N18" s="372"/>
      <c r="O18" s="373"/>
    </row>
    <row r="19" spans="1:11" ht="15.75">
      <c r="A19" s="204" t="s">
        <v>1104</v>
      </c>
      <c r="B19" s="79" t="s">
        <v>1105</v>
      </c>
      <c r="C19" s="79"/>
      <c r="D19" s="55"/>
      <c r="E19" s="55"/>
      <c r="F19" s="155">
        <f>F20+F26+F39+F71+F88+F93</f>
        <v>506287</v>
      </c>
      <c r="G19" s="155">
        <f>G20+G26+G39+G71+G88+G93</f>
        <v>812421.1000000001</v>
      </c>
      <c r="H19" s="155">
        <f>H20+H26+H39+H71+H88+H93</f>
        <v>759597.5</v>
      </c>
      <c r="I19" s="370">
        <f aca="true" t="shared" si="0" ref="I19:I64">H19/F19*100</f>
        <v>150.0329852435476</v>
      </c>
      <c r="J19" s="370">
        <f aca="true" t="shared" si="1" ref="J19:J64">H19/G19*100</f>
        <v>93.49800245217658</v>
      </c>
      <c r="K19" s="374"/>
    </row>
    <row r="20" spans="1:10" ht="36">
      <c r="A20" s="205" t="s">
        <v>488</v>
      </c>
      <c r="B20" s="55" t="s">
        <v>1105</v>
      </c>
      <c r="C20" s="53" t="s">
        <v>1106</v>
      </c>
      <c r="D20" s="55"/>
      <c r="E20" s="55"/>
      <c r="F20" s="159">
        <f aca="true" t="shared" si="2" ref="F20:H22">F21</f>
        <v>2985.4</v>
      </c>
      <c r="G20" s="159">
        <f t="shared" si="2"/>
        <v>2985.4</v>
      </c>
      <c r="H20" s="159">
        <f t="shared" si="2"/>
        <v>2536.7</v>
      </c>
      <c r="I20" s="370">
        <f t="shared" si="0"/>
        <v>84.9701882494808</v>
      </c>
      <c r="J20" s="370">
        <f t="shared" si="1"/>
        <v>84.9701882494808</v>
      </c>
    </row>
    <row r="21" spans="1:10" ht="24">
      <c r="A21" s="63" t="s">
        <v>717</v>
      </c>
      <c r="B21" s="53" t="s">
        <v>1105</v>
      </c>
      <c r="C21" s="53" t="s">
        <v>1106</v>
      </c>
      <c r="D21" s="55" t="s">
        <v>718</v>
      </c>
      <c r="E21" s="53"/>
      <c r="F21" s="159">
        <f t="shared" si="2"/>
        <v>2985.4</v>
      </c>
      <c r="G21" s="159">
        <f t="shared" si="2"/>
        <v>2985.4</v>
      </c>
      <c r="H21" s="159">
        <f t="shared" si="2"/>
        <v>2536.7</v>
      </c>
      <c r="I21" s="370">
        <f t="shared" si="0"/>
        <v>84.9701882494808</v>
      </c>
      <c r="J21" s="370">
        <f t="shared" si="1"/>
        <v>84.9701882494808</v>
      </c>
    </row>
    <row r="22" spans="1:10" ht="41.25" customHeight="1">
      <c r="A22" s="62" t="s">
        <v>719</v>
      </c>
      <c r="B22" s="53" t="s">
        <v>1105</v>
      </c>
      <c r="C22" s="53" t="s">
        <v>1106</v>
      </c>
      <c r="D22" s="55" t="s">
        <v>720</v>
      </c>
      <c r="E22" s="53"/>
      <c r="F22" s="159">
        <f t="shared" si="2"/>
        <v>2985.4</v>
      </c>
      <c r="G22" s="159">
        <f t="shared" si="2"/>
        <v>2985.4</v>
      </c>
      <c r="H22" s="159">
        <f t="shared" si="2"/>
        <v>2536.7</v>
      </c>
      <c r="I22" s="370">
        <f t="shared" si="0"/>
        <v>84.9701882494808</v>
      </c>
      <c r="J22" s="370">
        <f t="shared" si="1"/>
        <v>84.9701882494808</v>
      </c>
    </row>
    <row r="23" spans="1:10" ht="24">
      <c r="A23" s="206" t="s">
        <v>1108</v>
      </c>
      <c r="B23" s="53" t="s">
        <v>1105</v>
      </c>
      <c r="C23" s="53" t="s">
        <v>1106</v>
      </c>
      <c r="D23" s="55" t="s">
        <v>721</v>
      </c>
      <c r="E23" s="53" t="s">
        <v>920</v>
      </c>
      <c r="F23" s="159">
        <f>F25</f>
        <v>2985.4</v>
      </c>
      <c r="G23" s="159">
        <f>G25</f>
        <v>2985.4</v>
      </c>
      <c r="H23" s="159">
        <f>H25</f>
        <v>2536.7</v>
      </c>
      <c r="I23" s="370">
        <f t="shared" si="0"/>
        <v>84.9701882494808</v>
      </c>
      <c r="J23" s="370">
        <f t="shared" si="1"/>
        <v>84.9701882494808</v>
      </c>
    </row>
    <row r="24" spans="1:10" ht="60">
      <c r="A24" s="206" t="s">
        <v>63</v>
      </c>
      <c r="B24" s="53" t="s">
        <v>1105</v>
      </c>
      <c r="C24" s="53" t="s">
        <v>1106</v>
      </c>
      <c r="D24" s="55" t="s">
        <v>721</v>
      </c>
      <c r="E24" s="53" t="s">
        <v>64</v>
      </c>
      <c r="F24" s="159">
        <f>F25</f>
        <v>2985.4</v>
      </c>
      <c r="G24" s="159">
        <f>G25</f>
        <v>2985.4</v>
      </c>
      <c r="H24" s="159">
        <f>H25</f>
        <v>2536.7</v>
      </c>
      <c r="I24" s="370">
        <f t="shared" si="0"/>
        <v>84.9701882494808</v>
      </c>
      <c r="J24" s="370">
        <f t="shared" si="1"/>
        <v>84.9701882494808</v>
      </c>
    </row>
    <row r="25" spans="1:10" ht="24">
      <c r="A25" s="206" t="s">
        <v>65</v>
      </c>
      <c r="B25" s="53" t="s">
        <v>1105</v>
      </c>
      <c r="C25" s="53" t="s">
        <v>1106</v>
      </c>
      <c r="D25" s="55" t="s">
        <v>721</v>
      </c>
      <c r="E25" s="53" t="s">
        <v>527</v>
      </c>
      <c r="F25" s="54">
        <v>2985.4</v>
      </c>
      <c r="G25" s="54">
        <v>2985.4</v>
      </c>
      <c r="H25" s="54">
        <v>2536.7</v>
      </c>
      <c r="I25" s="370">
        <f t="shared" si="0"/>
        <v>84.9701882494808</v>
      </c>
      <c r="J25" s="370">
        <f t="shared" si="1"/>
        <v>84.9701882494808</v>
      </c>
    </row>
    <row r="26" spans="1:10" ht="48">
      <c r="A26" s="61" t="s">
        <v>1314</v>
      </c>
      <c r="B26" s="55" t="s">
        <v>1105</v>
      </c>
      <c r="C26" s="55" t="s">
        <v>530</v>
      </c>
      <c r="D26" s="55"/>
      <c r="E26" s="55"/>
      <c r="F26" s="153">
        <f aca="true" t="shared" si="3" ref="F26:H27">F27</f>
        <v>19175.9</v>
      </c>
      <c r="G26" s="153">
        <f t="shared" si="3"/>
        <v>19175.9</v>
      </c>
      <c r="H26" s="153">
        <f t="shared" si="3"/>
        <v>18184.3</v>
      </c>
      <c r="I26" s="370">
        <f t="shared" si="0"/>
        <v>94.8289258913532</v>
      </c>
      <c r="J26" s="370">
        <f t="shared" si="1"/>
        <v>94.8289258913532</v>
      </c>
    </row>
    <row r="27" spans="1:10" ht="24">
      <c r="A27" s="63" t="s">
        <v>66</v>
      </c>
      <c r="B27" s="55" t="s">
        <v>1105</v>
      </c>
      <c r="C27" s="55" t="s">
        <v>530</v>
      </c>
      <c r="D27" s="55" t="s">
        <v>718</v>
      </c>
      <c r="E27" s="55"/>
      <c r="F27" s="153">
        <f t="shared" si="3"/>
        <v>19175.9</v>
      </c>
      <c r="G27" s="153">
        <f t="shared" si="3"/>
        <v>19175.9</v>
      </c>
      <c r="H27" s="153">
        <f t="shared" si="3"/>
        <v>18184.3</v>
      </c>
      <c r="I27" s="370">
        <f t="shared" si="0"/>
        <v>94.8289258913532</v>
      </c>
      <c r="J27" s="370">
        <f t="shared" si="1"/>
        <v>94.8289258913532</v>
      </c>
    </row>
    <row r="28" spans="1:10" ht="36">
      <c r="A28" s="62" t="s">
        <v>719</v>
      </c>
      <c r="B28" s="55" t="s">
        <v>1105</v>
      </c>
      <c r="C28" s="55" t="s">
        <v>530</v>
      </c>
      <c r="D28" s="55" t="s">
        <v>720</v>
      </c>
      <c r="E28" s="55"/>
      <c r="F28" s="153">
        <f>F29+F36</f>
        <v>19175.9</v>
      </c>
      <c r="G28" s="153">
        <f>G29+G36</f>
        <v>19175.9</v>
      </c>
      <c r="H28" s="153">
        <f>H29+H36</f>
        <v>18184.3</v>
      </c>
      <c r="I28" s="370">
        <f t="shared" si="0"/>
        <v>94.8289258913532</v>
      </c>
      <c r="J28" s="370">
        <f t="shared" si="1"/>
        <v>94.8289258913532</v>
      </c>
    </row>
    <row r="29" spans="1:10" ht="24">
      <c r="A29" s="57" t="s">
        <v>531</v>
      </c>
      <c r="B29" s="55" t="s">
        <v>532</v>
      </c>
      <c r="C29" s="55" t="s">
        <v>530</v>
      </c>
      <c r="D29" s="55" t="s">
        <v>67</v>
      </c>
      <c r="E29" s="55" t="s">
        <v>920</v>
      </c>
      <c r="F29" s="159">
        <f>F30+F32+F34</f>
        <v>19171.2</v>
      </c>
      <c r="G29" s="159">
        <f>G30+G32+G34</f>
        <v>19171.2</v>
      </c>
      <c r="H29" s="159">
        <f>H30+H32+H34</f>
        <v>18181.5</v>
      </c>
      <c r="I29" s="370">
        <f t="shared" si="0"/>
        <v>94.83756885327992</v>
      </c>
      <c r="J29" s="370">
        <f t="shared" si="1"/>
        <v>94.83756885327992</v>
      </c>
    </row>
    <row r="30" spans="1:10" ht="60">
      <c r="A30" s="206" t="s">
        <v>63</v>
      </c>
      <c r="B30" s="55" t="s">
        <v>532</v>
      </c>
      <c r="C30" s="55" t="s">
        <v>530</v>
      </c>
      <c r="D30" s="55" t="s">
        <v>67</v>
      </c>
      <c r="E30" s="55" t="s">
        <v>64</v>
      </c>
      <c r="F30" s="159">
        <f>F31</f>
        <v>18721.2</v>
      </c>
      <c r="G30" s="159">
        <f>G31</f>
        <v>18721.2</v>
      </c>
      <c r="H30" s="159">
        <f>H31</f>
        <v>17817</v>
      </c>
      <c r="I30" s="370">
        <f t="shared" si="0"/>
        <v>95.17018139862829</v>
      </c>
      <c r="J30" s="370">
        <f t="shared" si="1"/>
        <v>95.17018139862829</v>
      </c>
    </row>
    <row r="31" spans="1:10" ht="24">
      <c r="A31" s="206" t="s">
        <v>65</v>
      </c>
      <c r="B31" s="55" t="s">
        <v>532</v>
      </c>
      <c r="C31" s="55" t="s">
        <v>530</v>
      </c>
      <c r="D31" s="55" t="s">
        <v>67</v>
      </c>
      <c r="E31" s="55" t="s">
        <v>527</v>
      </c>
      <c r="F31" s="54">
        <v>18721.2</v>
      </c>
      <c r="G31" s="54">
        <v>18721.2</v>
      </c>
      <c r="H31" s="54">
        <v>17817</v>
      </c>
      <c r="I31" s="370">
        <f t="shared" si="0"/>
        <v>95.17018139862829</v>
      </c>
      <c r="J31" s="370">
        <f t="shared" si="1"/>
        <v>95.17018139862829</v>
      </c>
    </row>
    <row r="32" spans="1:10" ht="24">
      <c r="A32" s="206" t="s">
        <v>68</v>
      </c>
      <c r="B32" s="55" t="s">
        <v>1105</v>
      </c>
      <c r="C32" s="55" t="s">
        <v>530</v>
      </c>
      <c r="D32" s="55" t="s">
        <v>67</v>
      </c>
      <c r="E32" s="55" t="s">
        <v>528</v>
      </c>
      <c r="F32" s="153">
        <f>F33</f>
        <v>350</v>
      </c>
      <c r="G32" s="153">
        <f>G33</f>
        <v>350</v>
      </c>
      <c r="H32" s="153">
        <f>H33</f>
        <v>283</v>
      </c>
      <c r="I32" s="370">
        <f t="shared" si="0"/>
        <v>80.85714285714286</v>
      </c>
      <c r="J32" s="370">
        <f t="shared" si="1"/>
        <v>80.85714285714286</v>
      </c>
    </row>
    <row r="33" spans="1:10" ht="24">
      <c r="A33" s="206" t="s">
        <v>69</v>
      </c>
      <c r="B33" s="55" t="s">
        <v>1105</v>
      </c>
      <c r="C33" s="55" t="s">
        <v>530</v>
      </c>
      <c r="D33" s="55" t="s">
        <v>67</v>
      </c>
      <c r="E33" s="55" t="s">
        <v>1486</v>
      </c>
      <c r="F33" s="60">
        <v>350</v>
      </c>
      <c r="G33" s="60">
        <v>350</v>
      </c>
      <c r="H33" s="60">
        <v>283</v>
      </c>
      <c r="I33" s="370">
        <f t="shared" si="0"/>
        <v>80.85714285714286</v>
      </c>
      <c r="J33" s="370">
        <f t="shared" si="1"/>
        <v>80.85714285714286</v>
      </c>
    </row>
    <row r="34" spans="1:10" ht="24">
      <c r="A34" s="206" t="s">
        <v>793</v>
      </c>
      <c r="B34" s="55" t="s">
        <v>1105</v>
      </c>
      <c r="C34" s="55" t="s">
        <v>530</v>
      </c>
      <c r="D34" s="55" t="s">
        <v>67</v>
      </c>
      <c r="E34" s="55" t="s">
        <v>794</v>
      </c>
      <c r="F34" s="153">
        <f>F35</f>
        <v>100</v>
      </c>
      <c r="G34" s="153">
        <f>G35</f>
        <v>100</v>
      </c>
      <c r="H34" s="153">
        <f>H35</f>
        <v>81.5</v>
      </c>
      <c r="I34" s="370">
        <f t="shared" si="0"/>
        <v>81.5</v>
      </c>
      <c r="J34" s="370">
        <f t="shared" si="1"/>
        <v>81.5</v>
      </c>
    </row>
    <row r="35" spans="1:10" ht="24">
      <c r="A35" s="206" t="s">
        <v>70</v>
      </c>
      <c r="B35" s="55" t="s">
        <v>1105</v>
      </c>
      <c r="C35" s="55" t="s">
        <v>530</v>
      </c>
      <c r="D35" s="55" t="s">
        <v>67</v>
      </c>
      <c r="E35" s="55" t="s">
        <v>71</v>
      </c>
      <c r="F35" s="60">
        <v>100</v>
      </c>
      <c r="G35" s="60">
        <v>100</v>
      </c>
      <c r="H35" s="60">
        <v>81.5</v>
      </c>
      <c r="I35" s="370">
        <f t="shared" si="0"/>
        <v>81.5</v>
      </c>
      <c r="J35" s="370">
        <f t="shared" si="1"/>
        <v>81.5</v>
      </c>
    </row>
    <row r="36" spans="1:10" ht="24">
      <c r="A36" s="207" t="s">
        <v>1487</v>
      </c>
      <c r="B36" s="55" t="s">
        <v>1105</v>
      </c>
      <c r="C36" s="55" t="s">
        <v>530</v>
      </c>
      <c r="D36" s="55" t="s">
        <v>72</v>
      </c>
      <c r="E36" s="55"/>
      <c r="F36" s="153">
        <f aca="true" t="shared" si="4" ref="F36:H37">F37</f>
        <v>4.7</v>
      </c>
      <c r="G36" s="153">
        <f t="shared" si="4"/>
        <v>4.7</v>
      </c>
      <c r="H36" s="153">
        <f t="shared" si="4"/>
        <v>2.8</v>
      </c>
      <c r="I36" s="370">
        <f t="shared" si="0"/>
        <v>59.57446808510638</v>
      </c>
      <c r="J36" s="370">
        <f t="shared" si="1"/>
        <v>59.57446808510638</v>
      </c>
    </row>
    <row r="37" spans="1:10" ht="24">
      <c r="A37" s="206" t="s">
        <v>793</v>
      </c>
      <c r="B37" s="55" t="s">
        <v>1105</v>
      </c>
      <c r="C37" s="55" t="s">
        <v>530</v>
      </c>
      <c r="D37" s="55" t="s">
        <v>72</v>
      </c>
      <c r="E37" s="55" t="s">
        <v>794</v>
      </c>
      <c r="F37" s="153">
        <f t="shared" si="4"/>
        <v>4.7</v>
      </c>
      <c r="G37" s="153">
        <f t="shared" si="4"/>
        <v>4.7</v>
      </c>
      <c r="H37" s="153">
        <f t="shared" si="4"/>
        <v>2.8</v>
      </c>
      <c r="I37" s="370">
        <f t="shared" si="0"/>
        <v>59.57446808510638</v>
      </c>
      <c r="J37" s="370">
        <f t="shared" si="1"/>
        <v>59.57446808510638</v>
      </c>
    </row>
    <row r="38" spans="1:10" ht="24">
      <c r="A38" s="206" t="s">
        <v>70</v>
      </c>
      <c r="B38" s="55" t="s">
        <v>1105</v>
      </c>
      <c r="C38" s="55" t="s">
        <v>530</v>
      </c>
      <c r="D38" s="55" t="s">
        <v>72</v>
      </c>
      <c r="E38" s="55" t="s">
        <v>71</v>
      </c>
      <c r="F38" s="60">
        <v>4.7</v>
      </c>
      <c r="G38" s="60">
        <v>4.7</v>
      </c>
      <c r="H38" s="60">
        <v>2.8</v>
      </c>
      <c r="I38" s="370">
        <f t="shared" si="0"/>
        <v>59.57446808510638</v>
      </c>
      <c r="J38" s="370">
        <f t="shared" si="1"/>
        <v>59.57446808510638</v>
      </c>
    </row>
    <row r="39" spans="1:10" ht="48">
      <c r="A39" s="61" t="s">
        <v>1150</v>
      </c>
      <c r="B39" s="55" t="s">
        <v>1105</v>
      </c>
      <c r="C39" s="55" t="s">
        <v>1151</v>
      </c>
      <c r="D39" s="55"/>
      <c r="E39" s="55"/>
      <c r="F39" s="153">
        <f>F40</f>
        <v>251237.5</v>
      </c>
      <c r="G39" s="153">
        <f>G40</f>
        <v>252413.1</v>
      </c>
      <c r="H39" s="153">
        <f>H40</f>
        <v>235461.80000000002</v>
      </c>
      <c r="I39" s="370">
        <f t="shared" si="0"/>
        <v>93.72080202995174</v>
      </c>
      <c r="J39" s="370">
        <f t="shared" si="1"/>
        <v>93.28430259760687</v>
      </c>
    </row>
    <row r="40" spans="1:10" ht="24">
      <c r="A40" s="63" t="s">
        <v>66</v>
      </c>
      <c r="B40" s="55" t="s">
        <v>1105</v>
      </c>
      <c r="C40" s="55" t="s">
        <v>1151</v>
      </c>
      <c r="D40" s="55" t="s">
        <v>718</v>
      </c>
      <c r="E40" s="55"/>
      <c r="F40" s="153">
        <f>F41+F46</f>
        <v>251237.5</v>
      </c>
      <c r="G40" s="153">
        <f>G41+G46</f>
        <v>252413.1</v>
      </c>
      <c r="H40" s="153">
        <f>H41+H46</f>
        <v>235461.80000000002</v>
      </c>
      <c r="I40" s="370">
        <f t="shared" si="0"/>
        <v>93.72080202995174</v>
      </c>
      <c r="J40" s="370">
        <f t="shared" si="1"/>
        <v>93.28430259760687</v>
      </c>
    </row>
    <row r="41" spans="1:10" ht="36">
      <c r="A41" s="62" t="s">
        <v>73</v>
      </c>
      <c r="B41" s="55" t="s">
        <v>1105</v>
      </c>
      <c r="C41" s="55" t="s">
        <v>1151</v>
      </c>
      <c r="D41" s="55" t="s">
        <v>74</v>
      </c>
      <c r="E41" s="55"/>
      <c r="F41" s="153">
        <f>F42+F44</f>
        <v>11849.8</v>
      </c>
      <c r="G41" s="153">
        <f>G42+G44</f>
        <v>11929.8</v>
      </c>
      <c r="H41" s="153">
        <f>H42+H44</f>
        <v>11239</v>
      </c>
      <c r="I41" s="370">
        <f t="shared" si="0"/>
        <v>94.84548262417931</v>
      </c>
      <c r="J41" s="370">
        <f t="shared" si="1"/>
        <v>94.20945866653256</v>
      </c>
    </row>
    <row r="42" spans="1:10" ht="24">
      <c r="A42" s="206" t="s">
        <v>68</v>
      </c>
      <c r="B42" s="55" t="s">
        <v>1105</v>
      </c>
      <c r="C42" s="55" t="s">
        <v>1151</v>
      </c>
      <c r="D42" s="55" t="s">
        <v>75</v>
      </c>
      <c r="E42" s="55" t="s">
        <v>528</v>
      </c>
      <c r="F42" s="153">
        <f>F43</f>
        <v>11427.4</v>
      </c>
      <c r="G42" s="153">
        <f>G43</f>
        <v>11507.4</v>
      </c>
      <c r="H42" s="153">
        <f>H43</f>
        <v>10817</v>
      </c>
      <c r="I42" s="370">
        <f t="shared" si="0"/>
        <v>94.65845249138037</v>
      </c>
      <c r="J42" s="370">
        <f t="shared" si="1"/>
        <v>94.0003823626536</v>
      </c>
    </row>
    <row r="43" spans="1:10" ht="24">
      <c r="A43" s="206" t="s">
        <v>69</v>
      </c>
      <c r="B43" s="55" t="s">
        <v>1105</v>
      </c>
      <c r="C43" s="55" t="s">
        <v>1151</v>
      </c>
      <c r="D43" s="55" t="s">
        <v>75</v>
      </c>
      <c r="E43" s="55" t="s">
        <v>1486</v>
      </c>
      <c r="F43" s="60">
        <v>11427.4</v>
      </c>
      <c r="G43" s="60">
        <f>11427.4+60+20</f>
        <v>11507.4</v>
      </c>
      <c r="H43" s="60">
        <v>10817</v>
      </c>
      <c r="I43" s="370">
        <f t="shared" si="0"/>
        <v>94.65845249138037</v>
      </c>
      <c r="J43" s="370">
        <f t="shared" si="1"/>
        <v>94.0003823626536</v>
      </c>
    </row>
    <row r="44" spans="1:10" ht="24">
      <c r="A44" s="206" t="s">
        <v>68</v>
      </c>
      <c r="B44" s="55" t="s">
        <v>1105</v>
      </c>
      <c r="C44" s="55" t="s">
        <v>1151</v>
      </c>
      <c r="D44" s="55" t="s">
        <v>76</v>
      </c>
      <c r="E44" s="55" t="s">
        <v>528</v>
      </c>
      <c r="F44" s="153">
        <f>F45</f>
        <v>422.4</v>
      </c>
      <c r="G44" s="153">
        <f>G45</f>
        <v>422.4</v>
      </c>
      <c r="H44" s="153">
        <f>H45</f>
        <v>422</v>
      </c>
      <c r="I44" s="370">
        <f t="shared" si="0"/>
        <v>99.90530303030305</v>
      </c>
      <c r="J44" s="370">
        <f t="shared" si="1"/>
        <v>99.90530303030305</v>
      </c>
    </row>
    <row r="45" spans="1:10" ht="24">
      <c r="A45" s="206" t="s">
        <v>69</v>
      </c>
      <c r="B45" s="55" t="s">
        <v>1105</v>
      </c>
      <c r="C45" s="55" t="s">
        <v>1151</v>
      </c>
      <c r="D45" s="55" t="s">
        <v>76</v>
      </c>
      <c r="E45" s="55" t="s">
        <v>1486</v>
      </c>
      <c r="F45" s="60">
        <v>422.4</v>
      </c>
      <c r="G45" s="60">
        <v>422.4</v>
      </c>
      <c r="H45" s="60">
        <v>422</v>
      </c>
      <c r="I45" s="370">
        <f t="shared" si="0"/>
        <v>99.90530303030305</v>
      </c>
      <c r="J45" s="370">
        <f t="shared" si="1"/>
        <v>99.90530303030305</v>
      </c>
    </row>
    <row r="46" spans="1:10" ht="36">
      <c r="A46" s="62" t="s">
        <v>77</v>
      </c>
      <c r="B46" s="55" t="s">
        <v>1105</v>
      </c>
      <c r="C46" s="55" t="s">
        <v>1151</v>
      </c>
      <c r="D46" s="55" t="s">
        <v>78</v>
      </c>
      <c r="E46" s="55"/>
      <c r="F46" s="153">
        <f>F47+F61+F56+F66</f>
        <v>239387.7</v>
      </c>
      <c r="G46" s="153">
        <f>G47+G61+G56+G66</f>
        <v>240483.30000000002</v>
      </c>
      <c r="H46" s="153">
        <f>H47+H61+H56+H66</f>
        <v>224222.80000000002</v>
      </c>
      <c r="I46" s="370">
        <f t="shared" si="0"/>
        <v>93.66512982914327</v>
      </c>
      <c r="J46" s="370">
        <f t="shared" si="1"/>
        <v>93.23840782291327</v>
      </c>
    </row>
    <row r="47" spans="1:10" ht="24">
      <c r="A47" s="57" t="s">
        <v>531</v>
      </c>
      <c r="B47" s="55" t="s">
        <v>1105</v>
      </c>
      <c r="C47" s="55" t="s">
        <v>1151</v>
      </c>
      <c r="D47" s="55" t="s">
        <v>79</v>
      </c>
      <c r="E47" s="55" t="s">
        <v>920</v>
      </c>
      <c r="F47" s="153">
        <f>F48+F50+F52+F54</f>
        <v>221710.1</v>
      </c>
      <c r="G47" s="153">
        <f>G48+G50+G52+G54</f>
        <v>222805.7</v>
      </c>
      <c r="H47" s="153">
        <f>H48+H50+H52+H54</f>
        <v>209802.1</v>
      </c>
      <c r="I47" s="370">
        <f t="shared" si="0"/>
        <v>94.62902231337227</v>
      </c>
      <c r="J47" s="370">
        <f t="shared" si="1"/>
        <v>94.16370407040753</v>
      </c>
    </row>
    <row r="48" spans="1:10" ht="60">
      <c r="A48" s="206" t="s">
        <v>63</v>
      </c>
      <c r="B48" s="55" t="s">
        <v>1105</v>
      </c>
      <c r="C48" s="55" t="s">
        <v>1151</v>
      </c>
      <c r="D48" s="55" t="s">
        <v>79</v>
      </c>
      <c r="E48" s="55" t="s">
        <v>64</v>
      </c>
      <c r="F48" s="153">
        <f>F49</f>
        <v>192844.6</v>
      </c>
      <c r="G48" s="153">
        <f>G49</f>
        <v>195720.30000000002</v>
      </c>
      <c r="H48" s="153">
        <f>H49</f>
        <v>183383.1</v>
      </c>
      <c r="I48" s="370">
        <f t="shared" si="0"/>
        <v>95.09371794698944</v>
      </c>
      <c r="J48" s="370">
        <f t="shared" si="1"/>
        <v>93.69651487352102</v>
      </c>
    </row>
    <row r="49" spans="1:10" ht="24">
      <c r="A49" s="206" t="s">
        <v>65</v>
      </c>
      <c r="B49" s="55" t="s">
        <v>1105</v>
      </c>
      <c r="C49" s="55" t="s">
        <v>1151</v>
      </c>
      <c r="D49" s="55" t="s">
        <v>80</v>
      </c>
      <c r="E49" s="55" t="s">
        <v>527</v>
      </c>
      <c r="F49" s="60">
        <v>192844.6</v>
      </c>
      <c r="G49" s="60">
        <f>192844.6+2875.6+0.1</f>
        <v>195720.30000000002</v>
      </c>
      <c r="H49" s="60">
        <v>183383.1</v>
      </c>
      <c r="I49" s="370">
        <f t="shared" si="0"/>
        <v>95.09371794698944</v>
      </c>
      <c r="J49" s="370">
        <f t="shared" si="1"/>
        <v>93.69651487352102</v>
      </c>
    </row>
    <row r="50" spans="1:10" ht="24">
      <c r="A50" s="206" t="s">
        <v>68</v>
      </c>
      <c r="B50" s="55" t="s">
        <v>1105</v>
      </c>
      <c r="C50" s="55" t="s">
        <v>1151</v>
      </c>
      <c r="D50" s="55" t="s">
        <v>80</v>
      </c>
      <c r="E50" s="55" t="s">
        <v>528</v>
      </c>
      <c r="F50" s="153">
        <f>F51</f>
        <v>23709</v>
      </c>
      <c r="G50" s="153">
        <f>G51</f>
        <v>21889.1</v>
      </c>
      <c r="H50" s="153">
        <f>H51</f>
        <v>21232.5</v>
      </c>
      <c r="I50" s="370">
        <f t="shared" si="0"/>
        <v>89.55459951916993</v>
      </c>
      <c r="J50" s="370">
        <f t="shared" si="1"/>
        <v>97.00033349932158</v>
      </c>
    </row>
    <row r="51" spans="1:10" ht="24">
      <c r="A51" s="206" t="s">
        <v>69</v>
      </c>
      <c r="B51" s="55" t="s">
        <v>1105</v>
      </c>
      <c r="C51" s="55" t="s">
        <v>1151</v>
      </c>
      <c r="D51" s="55" t="s">
        <v>80</v>
      </c>
      <c r="E51" s="55" t="s">
        <v>1486</v>
      </c>
      <c r="F51" s="60">
        <v>23709</v>
      </c>
      <c r="G51" s="60">
        <f>22314-805+2200-960-520-200-100-39.9</f>
        <v>21889.1</v>
      </c>
      <c r="H51" s="60">
        <v>21232.5</v>
      </c>
      <c r="I51" s="370">
        <f t="shared" si="0"/>
        <v>89.55459951916993</v>
      </c>
      <c r="J51" s="370">
        <f t="shared" si="1"/>
        <v>97.00033349932158</v>
      </c>
    </row>
    <row r="52" spans="1:10" ht="24">
      <c r="A52" s="206" t="s">
        <v>793</v>
      </c>
      <c r="B52" s="55" t="s">
        <v>1105</v>
      </c>
      <c r="C52" s="55" t="s">
        <v>1151</v>
      </c>
      <c r="D52" s="55" t="s">
        <v>80</v>
      </c>
      <c r="E52" s="55" t="s">
        <v>794</v>
      </c>
      <c r="F52" s="153">
        <f>F53</f>
        <v>0</v>
      </c>
      <c r="G52" s="153">
        <f>G53</f>
        <v>10</v>
      </c>
      <c r="H52" s="153">
        <f>H53</f>
        <v>0.2</v>
      </c>
      <c r="I52" s="370"/>
      <c r="J52" s="370">
        <f t="shared" si="1"/>
        <v>2</v>
      </c>
    </row>
    <row r="53" spans="1:10" ht="24">
      <c r="A53" s="206" t="s">
        <v>70</v>
      </c>
      <c r="B53" s="55" t="s">
        <v>1105</v>
      </c>
      <c r="C53" s="55" t="s">
        <v>1151</v>
      </c>
      <c r="D53" s="55" t="s">
        <v>80</v>
      </c>
      <c r="E53" s="55" t="s">
        <v>71</v>
      </c>
      <c r="F53" s="60">
        <v>0</v>
      </c>
      <c r="G53" s="60">
        <v>10</v>
      </c>
      <c r="H53" s="60">
        <v>0.2</v>
      </c>
      <c r="I53" s="370"/>
      <c r="J53" s="370">
        <f t="shared" si="1"/>
        <v>2</v>
      </c>
    </row>
    <row r="54" spans="1:10" ht="16.5" customHeight="1">
      <c r="A54" s="206" t="s">
        <v>793</v>
      </c>
      <c r="B54" s="55" t="s">
        <v>1105</v>
      </c>
      <c r="C54" s="55" t="s">
        <v>1151</v>
      </c>
      <c r="D54" s="55" t="s">
        <v>81</v>
      </c>
      <c r="E54" s="55" t="s">
        <v>794</v>
      </c>
      <c r="F54" s="153">
        <f>F55</f>
        <v>5156.5</v>
      </c>
      <c r="G54" s="153">
        <f>G55</f>
        <v>5186.299999999999</v>
      </c>
      <c r="H54" s="153">
        <f>H55</f>
        <v>5186.299999999999</v>
      </c>
      <c r="I54" s="370">
        <f t="shared" si="0"/>
        <v>100.57791137399397</v>
      </c>
      <c r="J54" s="370">
        <f t="shared" si="1"/>
        <v>100</v>
      </c>
    </row>
    <row r="55" spans="1:10" ht="16.5" customHeight="1">
      <c r="A55" s="206" t="s">
        <v>70</v>
      </c>
      <c r="B55" s="55" t="s">
        <v>1105</v>
      </c>
      <c r="C55" s="55" t="s">
        <v>1151</v>
      </c>
      <c r="D55" s="55" t="s">
        <v>81</v>
      </c>
      <c r="E55" s="55" t="s">
        <v>71</v>
      </c>
      <c r="F55" s="60">
        <v>5156.5</v>
      </c>
      <c r="G55" s="60">
        <f>5146.5-0.1+39.9</f>
        <v>5186.299999999999</v>
      </c>
      <c r="H55" s="60">
        <f>5146.5-0.1+39.9</f>
        <v>5186.299999999999</v>
      </c>
      <c r="I55" s="370">
        <f t="shared" si="0"/>
        <v>100.57791137399397</v>
      </c>
      <c r="J55" s="370">
        <f t="shared" si="1"/>
        <v>100</v>
      </c>
    </row>
    <row r="56" spans="1:10" ht="84">
      <c r="A56" s="57" t="s">
        <v>82</v>
      </c>
      <c r="B56" s="55" t="s">
        <v>1105</v>
      </c>
      <c r="C56" s="55" t="s">
        <v>1151</v>
      </c>
      <c r="D56" s="55" t="s">
        <v>83</v>
      </c>
      <c r="E56" s="55" t="s">
        <v>920</v>
      </c>
      <c r="F56" s="153">
        <f>F57+F59</f>
        <v>8410.599999999999</v>
      </c>
      <c r="G56" s="153">
        <f>G57+G59</f>
        <v>8410.599999999999</v>
      </c>
      <c r="H56" s="153">
        <f>H57+H59</f>
        <v>5675.5</v>
      </c>
      <c r="I56" s="370">
        <f t="shared" si="0"/>
        <v>67.48032245024137</v>
      </c>
      <c r="J56" s="370">
        <f t="shared" si="1"/>
        <v>67.48032245024137</v>
      </c>
    </row>
    <row r="57" spans="1:10" ht="60">
      <c r="A57" s="206" t="s">
        <v>63</v>
      </c>
      <c r="B57" s="55" t="s">
        <v>1105</v>
      </c>
      <c r="C57" s="55" t="s">
        <v>1151</v>
      </c>
      <c r="D57" s="55" t="s">
        <v>83</v>
      </c>
      <c r="E57" s="55" t="s">
        <v>64</v>
      </c>
      <c r="F57" s="153">
        <f>F58</f>
        <v>5692.4</v>
      </c>
      <c r="G57" s="153">
        <f>G58</f>
        <v>5719.099999999999</v>
      </c>
      <c r="H57" s="153">
        <f>H58</f>
        <v>5459.1</v>
      </c>
      <c r="I57" s="370">
        <f t="shared" si="0"/>
        <v>95.90155294779005</v>
      </c>
      <c r="J57" s="370">
        <f t="shared" si="1"/>
        <v>95.45383014810024</v>
      </c>
    </row>
    <row r="58" spans="1:10" ht="24">
      <c r="A58" s="206" t="s">
        <v>65</v>
      </c>
      <c r="B58" s="55" t="s">
        <v>1105</v>
      </c>
      <c r="C58" s="55" t="s">
        <v>1151</v>
      </c>
      <c r="D58" s="55" t="s">
        <v>83</v>
      </c>
      <c r="E58" s="55" t="s">
        <v>527</v>
      </c>
      <c r="F58" s="60">
        <v>5692.4</v>
      </c>
      <c r="G58" s="60">
        <f>5692.4+26.7</f>
        <v>5719.099999999999</v>
      </c>
      <c r="H58" s="60">
        <v>5459.1</v>
      </c>
      <c r="I58" s="370">
        <f t="shared" si="0"/>
        <v>95.90155294779005</v>
      </c>
      <c r="J58" s="370">
        <f t="shared" si="1"/>
        <v>95.45383014810024</v>
      </c>
    </row>
    <row r="59" spans="1:10" ht="24">
      <c r="A59" s="206" t="s">
        <v>68</v>
      </c>
      <c r="B59" s="55" t="s">
        <v>1105</v>
      </c>
      <c r="C59" s="55" t="s">
        <v>1151</v>
      </c>
      <c r="D59" s="55" t="s">
        <v>83</v>
      </c>
      <c r="E59" s="55" t="s">
        <v>528</v>
      </c>
      <c r="F59" s="153">
        <f>F60</f>
        <v>2718.2</v>
      </c>
      <c r="G59" s="153">
        <f>G60</f>
        <v>2691.5</v>
      </c>
      <c r="H59" s="153">
        <f>H60</f>
        <v>216.4</v>
      </c>
      <c r="I59" s="370">
        <f t="shared" si="0"/>
        <v>7.961150761533369</v>
      </c>
      <c r="J59" s="370">
        <f t="shared" si="1"/>
        <v>8.04012632361137</v>
      </c>
    </row>
    <row r="60" spans="1:10" ht="24">
      <c r="A60" s="206" t="s">
        <v>69</v>
      </c>
      <c r="B60" s="55" t="s">
        <v>1105</v>
      </c>
      <c r="C60" s="55" t="s">
        <v>1151</v>
      </c>
      <c r="D60" s="55" t="s">
        <v>83</v>
      </c>
      <c r="E60" s="55" t="s">
        <v>1486</v>
      </c>
      <c r="F60" s="60">
        <v>2718.2</v>
      </c>
      <c r="G60" s="60">
        <f>2718.2-26.7</f>
        <v>2691.5</v>
      </c>
      <c r="H60" s="60">
        <v>216.4</v>
      </c>
      <c r="I60" s="370">
        <f t="shared" si="0"/>
        <v>7.961150761533369</v>
      </c>
      <c r="J60" s="370">
        <f t="shared" si="1"/>
        <v>8.04012632361137</v>
      </c>
    </row>
    <row r="61" spans="1:10" ht="48">
      <c r="A61" s="206" t="s">
        <v>529</v>
      </c>
      <c r="B61" s="55" t="s">
        <v>1105</v>
      </c>
      <c r="C61" s="55" t="s">
        <v>1151</v>
      </c>
      <c r="D61" s="55" t="s">
        <v>84</v>
      </c>
      <c r="E61" s="55" t="s">
        <v>920</v>
      </c>
      <c r="F61" s="153">
        <f>F63+F65</f>
        <v>4431</v>
      </c>
      <c r="G61" s="153">
        <f>G63+G65</f>
        <v>4431</v>
      </c>
      <c r="H61" s="153">
        <f>H63+H65</f>
        <v>4019.1</v>
      </c>
      <c r="I61" s="370">
        <f t="shared" si="0"/>
        <v>90.70412999322951</v>
      </c>
      <c r="J61" s="370">
        <f t="shared" si="1"/>
        <v>90.70412999322951</v>
      </c>
    </row>
    <row r="62" spans="1:10" ht="60">
      <c r="A62" s="206" t="s">
        <v>63</v>
      </c>
      <c r="B62" s="55" t="s">
        <v>1105</v>
      </c>
      <c r="C62" s="55" t="s">
        <v>1151</v>
      </c>
      <c r="D62" s="55" t="s">
        <v>84</v>
      </c>
      <c r="E62" s="55" t="s">
        <v>64</v>
      </c>
      <c r="F62" s="153">
        <f>F63</f>
        <v>3942.8</v>
      </c>
      <c r="G62" s="153">
        <f>G63</f>
        <v>3942.8</v>
      </c>
      <c r="H62" s="153">
        <f>H63</f>
        <v>3688</v>
      </c>
      <c r="I62" s="370">
        <f t="shared" si="0"/>
        <v>93.53758750126812</v>
      </c>
      <c r="J62" s="370">
        <f t="shared" si="1"/>
        <v>93.53758750126812</v>
      </c>
    </row>
    <row r="63" spans="1:10" ht="24">
      <c r="A63" s="206" t="s">
        <v>65</v>
      </c>
      <c r="B63" s="55" t="s">
        <v>1105</v>
      </c>
      <c r="C63" s="55" t="s">
        <v>1151</v>
      </c>
      <c r="D63" s="55" t="s">
        <v>84</v>
      </c>
      <c r="E63" s="55" t="s">
        <v>527</v>
      </c>
      <c r="F63" s="60">
        <v>3942.8</v>
      </c>
      <c r="G63" s="60">
        <v>3942.8</v>
      </c>
      <c r="H63" s="60">
        <v>3688</v>
      </c>
      <c r="I63" s="370">
        <f t="shared" si="0"/>
        <v>93.53758750126812</v>
      </c>
      <c r="J63" s="370">
        <f t="shared" si="1"/>
        <v>93.53758750126812</v>
      </c>
    </row>
    <row r="64" spans="1:10" ht="24">
      <c r="A64" s="206" t="s">
        <v>68</v>
      </c>
      <c r="B64" s="55" t="s">
        <v>1105</v>
      </c>
      <c r="C64" s="55" t="s">
        <v>1151</v>
      </c>
      <c r="D64" s="55" t="s">
        <v>84</v>
      </c>
      <c r="E64" s="55" t="s">
        <v>528</v>
      </c>
      <c r="F64" s="153">
        <f>F65</f>
        <v>488.2</v>
      </c>
      <c r="G64" s="153">
        <f>G65</f>
        <v>488.2</v>
      </c>
      <c r="H64" s="153">
        <f>H65</f>
        <v>331.1</v>
      </c>
      <c r="I64" s="370">
        <f t="shared" si="0"/>
        <v>67.82056534207292</v>
      </c>
      <c r="J64" s="370">
        <f t="shared" si="1"/>
        <v>67.82056534207292</v>
      </c>
    </row>
    <row r="65" spans="1:10" ht="24">
      <c r="A65" s="206" t="s">
        <v>69</v>
      </c>
      <c r="B65" s="55" t="s">
        <v>1105</v>
      </c>
      <c r="C65" s="55" t="s">
        <v>1151</v>
      </c>
      <c r="D65" s="55" t="s">
        <v>84</v>
      </c>
      <c r="E65" s="55" t="s">
        <v>1486</v>
      </c>
      <c r="F65" s="60">
        <v>488.2</v>
      </c>
      <c r="G65" s="60">
        <v>488.2</v>
      </c>
      <c r="H65" s="60">
        <v>331.1</v>
      </c>
      <c r="I65" s="370">
        <f aca="true" t="shared" si="5" ref="I65:I99">H65/F65*100</f>
        <v>67.82056534207292</v>
      </c>
      <c r="J65" s="370">
        <f aca="true" t="shared" si="6" ref="J65:J99">H65/G65*100</f>
        <v>67.82056534207292</v>
      </c>
    </row>
    <row r="66" spans="1:10" ht="72">
      <c r="A66" s="206" t="s">
        <v>639</v>
      </c>
      <c r="B66" s="55" t="s">
        <v>1105</v>
      </c>
      <c r="C66" s="55" t="s">
        <v>1151</v>
      </c>
      <c r="D66" s="55" t="s">
        <v>640</v>
      </c>
      <c r="E66" s="55" t="s">
        <v>920</v>
      </c>
      <c r="F66" s="153">
        <f>F68+F70</f>
        <v>4836</v>
      </c>
      <c r="G66" s="153">
        <f>G68+G70</f>
        <v>4836</v>
      </c>
      <c r="H66" s="153">
        <f>H68+H70</f>
        <v>4726.099999999999</v>
      </c>
      <c r="I66" s="370">
        <f t="shared" si="5"/>
        <v>97.72746071133167</v>
      </c>
      <c r="J66" s="370">
        <f t="shared" si="6"/>
        <v>97.72746071133167</v>
      </c>
    </row>
    <row r="67" spans="1:10" ht="60">
      <c r="A67" s="206" t="s">
        <v>63</v>
      </c>
      <c r="B67" s="55" t="s">
        <v>1105</v>
      </c>
      <c r="C67" s="55" t="s">
        <v>1151</v>
      </c>
      <c r="D67" s="55" t="s">
        <v>640</v>
      </c>
      <c r="E67" s="55" t="s">
        <v>64</v>
      </c>
      <c r="F67" s="153">
        <f>F68</f>
        <v>3823.4</v>
      </c>
      <c r="G67" s="153">
        <f>G68</f>
        <v>3951.6</v>
      </c>
      <c r="H67" s="153">
        <f>H68</f>
        <v>3841.7</v>
      </c>
      <c r="I67" s="370">
        <f t="shared" si="5"/>
        <v>100.47863158445362</v>
      </c>
      <c r="J67" s="370">
        <f t="shared" si="6"/>
        <v>97.21884806154469</v>
      </c>
    </row>
    <row r="68" spans="1:10" ht="24">
      <c r="A68" s="206" t="s">
        <v>65</v>
      </c>
      <c r="B68" s="55" t="s">
        <v>1105</v>
      </c>
      <c r="C68" s="55" t="s">
        <v>1151</v>
      </c>
      <c r="D68" s="55" t="s">
        <v>640</v>
      </c>
      <c r="E68" s="55" t="s">
        <v>527</v>
      </c>
      <c r="F68" s="60">
        <v>3823.4</v>
      </c>
      <c r="G68" s="60">
        <f>3823.4+119.5+36.1-27.4</f>
        <v>3951.6</v>
      </c>
      <c r="H68" s="60">
        <v>3841.7</v>
      </c>
      <c r="I68" s="370">
        <f t="shared" si="5"/>
        <v>100.47863158445362</v>
      </c>
      <c r="J68" s="370">
        <f t="shared" si="6"/>
        <v>97.21884806154469</v>
      </c>
    </row>
    <row r="69" spans="1:10" ht="24">
      <c r="A69" s="206" t="s">
        <v>68</v>
      </c>
      <c r="B69" s="55" t="s">
        <v>1105</v>
      </c>
      <c r="C69" s="55" t="s">
        <v>1151</v>
      </c>
      <c r="D69" s="55" t="s">
        <v>640</v>
      </c>
      <c r="E69" s="55" t="s">
        <v>528</v>
      </c>
      <c r="F69" s="153">
        <f>F70</f>
        <v>1012.6</v>
      </c>
      <c r="G69" s="153">
        <f>G70</f>
        <v>884.4</v>
      </c>
      <c r="H69" s="153">
        <f>H70</f>
        <v>884.4</v>
      </c>
      <c r="I69" s="370">
        <f t="shared" si="5"/>
        <v>87.33952202251629</v>
      </c>
      <c r="J69" s="370">
        <f t="shared" si="6"/>
        <v>100</v>
      </c>
    </row>
    <row r="70" spans="1:10" ht="24">
      <c r="A70" s="206" t="s">
        <v>710</v>
      </c>
      <c r="B70" s="55" t="s">
        <v>1105</v>
      </c>
      <c r="C70" s="55" t="s">
        <v>1151</v>
      </c>
      <c r="D70" s="55" t="s">
        <v>640</v>
      </c>
      <c r="E70" s="55" t="s">
        <v>1486</v>
      </c>
      <c r="F70" s="60">
        <v>1012.6</v>
      </c>
      <c r="G70" s="60">
        <f>1012.6-155.6+27.4</f>
        <v>884.4</v>
      </c>
      <c r="H70" s="60">
        <f>1012.6-155.6+27.4</f>
        <v>884.4</v>
      </c>
      <c r="I70" s="370">
        <f t="shared" si="5"/>
        <v>87.33952202251629</v>
      </c>
      <c r="J70" s="370">
        <f t="shared" si="6"/>
        <v>100</v>
      </c>
    </row>
    <row r="71" spans="1:10" ht="48">
      <c r="A71" s="61" t="s">
        <v>416</v>
      </c>
      <c r="B71" s="55" t="s">
        <v>1105</v>
      </c>
      <c r="C71" s="55" t="s">
        <v>417</v>
      </c>
      <c r="D71" s="55"/>
      <c r="E71" s="55"/>
      <c r="F71" s="153">
        <f>F72</f>
        <v>25543.8</v>
      </c>
      <c r="G71" s="153">
        <f>G72</f>
        <v>25543.8</v>
      </c>
      <c r="H71" s="153">
        <f>H72</f>
        <v>22703</v>
      </c>
      <c r="I71" s="370">
        <f t="shared" si="5"/>
        <v>88.87871029369163</v>
      </c>
      <c r="J71" s="370">
        <f t="shared" si="6"/>
        <v>88.87871029369163</v>
      </c>
    </row>
    <row r="72" spans="1:10" ht="24">
      <c r="A72" s="56" t="s">
        <v>66</v>
      </c>
      <c r="B72" s="55" t="s">
        <v>1105</v>
      </c>
      <c r="C72" s="55" t="s">
        <v>417</v>
      </c>
      <c r="D72" s="55" t="s">
        <v>718</v>
      </c>
      <c r="E72" s="55"/>
      <c r="F72" s="153">
        <f>F73+F81</f>
        <v>25543.8</v>
      </c>
      <c r="G72" s="153">
        <f>G73+G81</f>
        <v>25543.8</v>
      </c>
      <c r="H72" s="153">
        <f>H73+H81</f>
        <v>22703</v>
      </c>
      <c r="I72" s="370">
        <f t="shared" si="5"/>
        <v>88.87871029369163</v>
      </c>
      <c r="J72" s="370">
        <f t="shared" si="6"/>
        <v>88.87871029369163</v>
      </c>
    </row>
    <row r="73" spans="1:10" ht="48">
      <c r="A73" s="57" t="s">
        <v>641</v>
      </c>
      <c r="B73" s="55" t="s">
        <v>1105</v>
      </c>
      <c r="C73" s="55" t="s">
        <v>417</v>
      </c>
      <c r="D73" s="55" t="s">
        <v>642</v>
      </c>
      <c r="E73" s="55"/>
      <c r="F73" s="153">
        <f>F74+F76+F78</f>
        <v>20555.5</v>
      </c>
      <c r="G73" s="153">
        <f>G74+G76+G78</f>
        <v>20555.5</v>
      </c>
      <c r="H73" s="153">
        <f>H74+H76+H78</f>
        <v>18253.899999999998</v>
      </c>
      <c r="I73" s="370">
        <f t="shared" si="5"/>
        <v>88.80299676485612</v>
      </c>
      <c r="J73" s="370">
        <f t="shared" si="6"/>
        <v>88.80299676485612</v>
      </c>
    </row>
    <row r="74" spans="1:10" ht="60">
      <c r="A74" s="206" t="s">
        <v>63</v>
      </c>
      <c r="B74" s="55" t="s">
        <v>1105</v>
      </c>
      <c r="C74" s="55" t="s">
        <v>417</v>
      </c>
      <c r="D74" s="55" t="s">
        <v>643</v>
      </c>
      <c r="E74" s="55" t="s">
        <v>64</v>
      </c>
      <c r="F74" s="153">
        <f>F75</f>
        <v>19839.6</v>
      </c>
      <c r="G74" s="153">
        <f>G75</f>
        <v>19839.6</v>
      </c>
      <c r="H74" s="153">
        <f>H75</f>
        <v>17922</v>
      </c>
      <c r="I74" s="370">
        <f t="shared" si="5"/>
        <v>90.33448255005142</v>
      </c>
      <c r="J74" s="370">
        <f t="shared" si="6"/>
        <v>90.33448255005142</v>
      </c>
    </row>
    <row r="75" spans="1:10" ht="24">
      <c r="A75" s="206" t="s">
        <v>65</v>
      </c>
      <c r="B75" s="55" t="s">
        <v>1105</v>
      </c>
      <c r="C75" s="55" t="s">
        <v>417</v>
      </c>
      <c r="D75" s="55" t="s">
        <v>643</v>
      </c>
      <c r="E75" s="55" t="s">
        <v>527</v>
      </c>
      <c r="F75" s="60">
        <v>19839.6</v>
      </c>
      <c r="G75" s="60">
        <v>19839.6</v>
      </c>
      <c r="H75" s="60">
        <v>17922</v>
      </c>
      <c r="I75" s="370">
        <f t="shared" si="5"/>
        <v>90.33448255005142</v>
      </c>
      <c r="J75" s="370">
        <f t="shared" si="6"/>
        <v>90.33448255005142</v>
      </c>
    </row>
    <row r="76" spans="1:10" ht="24">
      <c r="A76" s="206" t="s">
        <v>68</v>
      </c>
      <c r="B76" s="55" t="s">
        <v>1105</v>
      </c>
      <c r="C76" s="55" t="s">
        <v>417</v>
      </c>
      <c r="D76" s="55" t="s">
        <v>643</v>
      </c>
      <c r="E76" s="55" t="s">
        <v>528</v>
      </c>
      <c r="F76" s="153">
        <f>F77</f>
        <v>703.9</v>
      </c>
      <c r="G76" s="153">
        <f>G77</f>
        <v>703.9</v>
      </c>
      <c r="H76" s="153">
        <f>H77</f>
        <v>328.8</v>
      </c>
      <c r="I76" s="370">
        <f t="shared" si="5"/>
        <v>46.71118056542123</v>
      </c>
      <c r="J76" s="370">
        <f t="shared" si="6"/>
        <v>46.71118056542123</v>
      </c>
    </row>
    <row r="77" spans="1:10" ht="24">
      <c r="A77" s="206" t="s">
        <v>710</v>
      </c>
      <c r="B77" s="55" t="s">
        <v>1105</v>
      </c>
      <c r="C77" s="55" t="s">
        <v>417</v>
      </c>
      <c r="D77" s="55" t="s">
        <v>643</v>
      </c>
      <c r="E77" s="55" t="s">
        <v>1486</v>
      </c>
      <c r="F77" s="60">
        <v>703.9</v>
      </c>
      <c r="G77" s="60">
        <v>703.9</v>
      </c>
      <c r="H77" s="60">
        <v>328.8</v>
      </c>
      <c r="I77" s="370">
        <f t="shared" si="5"/>
        <v>46.71118056542123</v>
      </c>
      <c r="J77" s="370">
        <f t="shared" si="6"/>
        <v>46.71118056542123</v>
      </c>
    </row>
    <row r="78" spans="1:10" ht="24">
      <c r="A78" s="207" t="s">
        <v>1487</v>
      </c>
      <c r="B78" s="55" t="s">
        <v>1105</v>
      </c>
      <c r="C78" s="55" t="s">
        <v>417</v>
      </c>
      <c r="D78" s="55" t="s">
        <v>644</v>
      </c>
      <c r="E78" s="55" t="s">
        <v>920</v>
      </c>
      <c r="F78" s="153">
        <f aca="true" t="shared" si="7" ref="F78:H79">F79</f>
        <v>12</v>
      </c>
      <c r="G78" s="153">
        <f t="shared" si="7"/>
        <v>12</v>
      </c>
      <c r="H78" s="153">
        <f t="shared" si="7"/>
        <v>3.1</v>
      </c>
      <c r="I78" s="370">
        <f t="shared" si="5"/>
        <v>25.833333333333336</v>
      </c>
      <c r="J78" s="370">
        <f t="shared" si="6"/>
        <v>25.833333333333336</v>
      </c>
    </row>
    <row r="79" spans="1:10" ht="24">
      <c r="A79" s="206" t="s">
        <v>793</v>
      </c>
      <c r="B79" s="55" t="s">
        <v>1105</v>
      </c>
      <c r="C79" s="55" t="s">
        <v>417</v>
      </c>
      <c r="D79" s="55" t="s">
        <v>644</v>
      </c>
      <c r="E79" s="55" t="s">
        <v>794</v>
      </c>
      <c r="F79" s="153">
        <f t="shared" si="7"/>
        <v>12</v>
      </c>
      <c r="G79" s="153">
        <f t="shared" si="7"/>
        <v>12</v>
      </c>
      <c r="H79" s="153">
        <f t="shared" si="7"/>
        <v>3.1</v>
      </c>
      <c r="I79" s="370">
        <f t="shared" si="5"/>
        <v>25.833333333333336</v>
      </c>
      <c r="J79" s="370">
        <f t="shared" si="6"/>
        <v>25.833333333333336</v>
      </c>
    </row>
    <row r="80" spans="1:10" ht="24">
      <c r="A80" s="206" t="s">
        <v>70</v>
      </c>
      <c r="B80" s="55" t="s">
        <v>1105</v>
      </c>
      <c r="C80" s="55" t="s">
        <v>417</v>
      </c>
      <c r="D80" s="55" t="s">
        <v>644</v>
      </c>
      <c r="E80" s="55" t="s">
        <v>71</v>
      </c>
      <c r="F80" s="60">
        <v>12</v>
      </c>
      <c r="G80" s="60">
        <v>12</v>
      </c>
      <c r="H80" s="60">
        <v>3.1</v>
      </c>
      <c r="I80" s="370">
        <f t="shared" si="5"/>
        <v>25.833333333333336</v>
      </c>
      <c r="J80" s="370">
        <f t="shared" si="6"/>
        <v>25.833333333333336</v>
      </c>
    </row>
    <row r="81" spans="1:10" ht="48">
      <c r="A81" s="207" t="s">
        <v>645</v>
      </c>
      <c r="B81" s="55" t="s">
        <v>532</v>
      </c>
      <c r="C81" s="55" t="s">
        <v>417</v>
      </c>
      <c r="D81" s="55" t="s">
        <v>646</v>
      </c>
      <c r="E81" s="55"/>
      <c r="F81" s="153">
        <f>F82+F84+F86</f>
        <v>4988.3</v>
      </c>
      <c r="G81" s="153">
        <f>G82+G84+G86</f>
        <v>4988.3</v>
      </c>
      <c r="H81" s="153">
        <f>H82+H84+H86</f>
        <v>4449.1</v>
      </c>
      <c r="I81" s="370">
        <f t="shared" si="5"/>
        <v>89.19070625263116</v>
      </c>
      <c r="J81" s="370">
        <f t="shared" si="6"/>
        <v>89.19070625263116</v>
      </c>
    </row>
    <row r="82" spans="1:10" ht="60">
      <c r="A82" s="206" t="s">
        <v>63</v>
      </c>
      <c r="B82" s="55" t="s">
        <v>1105</v>
      </c>
      <c r="C82" s="55" t="s">
        <v>417</v>
      </c>
      <c r="D82" s="55" t="s">
        <v>647</v>
      </c>
      <c r="E82" s="55" t="s">
        <v>64</v>
      </c>
      <c r="F82" s="153">
        <f>F83</f>
        <v>4844.8</v>
      </c>
      <c r="G82" s="153">
        <f>G83</f>
        <v>4844.8</v>
      </c>
      <c r="H82" s="153">
        <f>H83</f>
        <v>4317.6</v>
      </c>
      <c r="I82" s="370">
        <f t="shared" si="5"/>
        <v>89.11822985468957</v>
      </c>
      <c r="J82" s="370">
        <f t="shared" si="6"/>
        <v>89.11822985468957</v>
      </c>
    </row>
    <row r="83" spans="1:10" ht="24">
      <c r="A83" s="206" t="s">
        <v>65</v>
      </c>
      <c r="B83" s="55" t="s">
        <v>1105</v>
      </c>
      <c r="C83" s="55" t="s">
        <v>417</v>
      </c>
      <c r="D83" s="55" t="s">
        <v>647</v>
      </c>
      <c r="E83" s="55" t="s">
        <v>527</v>
      </c>
      <c r="F83" s="60">
        <v>4844.8</v>
      </c>
      <c r="G83" s="60">
        <v>4844.8</v>
      </c>
      <c r="H83" s="60">
        <v>4317.6</v>
      </c>
      <c r="I83" s="370">
        <f t="shared" si="5"/>
        <v>89.11822985468957</v>
      </c>
      <c r="J83" s="370">
        <f t="shared" si="6"/>
        <v>89.11822985468957</v>
      </c>
    </row>
    <row r="84" spans="1:10" ht="24">
      <c r="A84" s="206" t="s">
        <v>68</v>
      </c>
      <c r="B84" s="55" t="s">
        <v>1105</v>
      </c>
      <c r="C84" s="55" t="s">
        <v>417</v>
      </c>
      <c r="D84" s="55" t="s">
        <v>647</v>
      </c>
      <c r="E84" s="55" t="s">
        <v>528</v>
      </c>
      <c r="F84" s="153">
        <f>F85</f>
        <v>110.5</v>
      </c>
      <c r="G84" s="153">
        <f>G85</f>
        <v>108.5</v>
      </c>
      <c r="H84" s="153">
        <f>H85</f>
        <v>96.5</v>
      </c>
      <c r="I84" s="370">
        <f t="shared" si="5"/>
        <v>87.33031674208145</v>
      </c>
      <c r="J84" s="370">
        <f t="shared" si="6"/>
        <v>88.94009216589862</v>
      </c>
    </row>
    <row r="85" spans="1:10" ht="24">
      <c r="A85" s="206" t="s">
        <v>710</v>
      </c>
      <c r="B85" s="55" t="s">
        <v>1105</v>
      </c>
      <c r="C85" s="55" t="s">
        <v>417</v>
      </c>
      <c r="D85" s="55" t="s">
        <v>647</v>
      </c>
      <c r="E85" s="55" t="s">
        <v>1486</v>
      </c>
      <c r="F85" s="60">
        <v>110.5</v>
      </c>
      <c r="G85" s="60">
        <f>110.5-2</f>
        <v>108.5</v>
      </c>
      <c r="H85" s="60">
        <v>96.5</v>
      </c>
      <c r="I85" s="370">
        <f t="shared" si="5"/>
        <v>87.33031674208145</v>
      </c>
      <c r="J85" s="370">
        <f t="shared" si="6"/>
        <v>88.94009216589862</v>
      </c>
    </row>
    <row r="86" spans="1:10" ht="24">
      <c r="A86" s="206" t="s">
        <v>793</v>
      </c>
      <c r="B86" s="55" t="s">
        <v>1105</v>
      </c>
      <c r="C86" s="55" t="s">
        <v>417</v>
      </c>
      <c r="D86" s="55" t="s">
        <v>647</v>
      </c>
      <c r="E86" s="55" t="s">
        <v>794</v>
      </c>
      <c r="F86" s="153">
        <f>F87</f>
        <v>33</v>
      </c>
      <c r="G86" s="153">
        <f>G87</f>
        <v>35</v>
      </c>
      <c r="H86" s="153">
        <f>H87</f>
        <v>35</v>
      </c>
      <c r="I86" s="370">
        <f t="shared" si="5"/>
        <v>106.06060606060606</v>
      </c>
      <c r="J86" s="370">
        <f t="shared" si="6"/>
        <v>100</v>
      </c>
    </row>
    <row r="87" spans="1:10" ht="24">
      <c r="A87" s="206" t="s">
        <v>70</v>
      </c>
      <c r="B87" s="55" t="s">
        <v>1105</v>
      </c>
      <c r="C87" s="55" t="s">
        <v>417</v>
      </c>
      <c r="D87" s="55" t="s">
        <v>647</v>
      </c>
      <c r="E87" s="55" t="s">
        <v>71</v>
      </c>
      <c r="F87" s="60">
        <v>33</v>
      </c>
      <c r="G87" s="60">
        <f>33+2</f>
        <v>35</v>
      </c>
      <c r="H87" s="60">
        <f>33+2</f>
        <v>35</v>
      </c>
      <c r="I87" s="370">
        <f t="shared" si="5"/>
        <v>106.06060606060606</v>
      </c>
      <c r="J87" s="370">
        <f t="shared" si="6"/>
        <v>100</v>
      </c>
    </row>
    <row r="88" spans="1:10" ht="15.75">
      <c r="A88" s="71" t="s">
        <v>1315</v>
      </c>
      <c r="B88" s="55" t="s">
        <v>1105</v>
      </c>
      <c r="C88" s="55" t="s">
        <v>923</v>
      </c>
      <c r="D88" s="181"/>
      <c r="E88" s="55"/>
      <c r="F88" s="153">
        <f>F90</f>
        <v>7000</v>
      </c>
      <c r="G88" s="153">
        <f>G90</f>
        <v>3715.9</v>
      </c>
      <c r="H88" s="153">
        <f>H90</f>
        <v>0</v>
      </c>
      <c r="I88" s="370">
        <f t="shared" si="5"/>
        <v>0</v>
      </c>
      <c r="J88" s="370">
        <f t="shared" si="6"/>
        <v>0</v>
      </c>
    </row>
    <row r="89" spans="1:10" ht="15.75">
      <c r="A89" s="56" t="s">
        <v>1315</v>
      </c>
      <c r="B89" s="55" t="s">
        <v>1105</v>
      </c>
      <c r="C89" s="55" t="s">
        <v>923</v>
      </c>
      <c r="D89" s="55" t="s">
        <v>648</v>
      </c>
      <c r="E89" s="55"/>
      <c r="F89" s="153">
        <f aca="true" t="shared" si="8" ref="F89:H91">F90</f>
        <v>7000</v>
      </c>
      <c r="G89" s="153">
        <f t="shared" si="8"/>
        <v>3715.9</v>
      </c>
      <c r="H89" s="153">
        <f t="shared" si="8"/>
        <v>0</v>
      </c>
      <c r="I89" s="370">
        <f t="shared" si="5"/>
        <v>0</v>
      </c>
      <c r="J89" s="370">
        <f t="shared" si="6"/>
        <v>0</v>
      </c>
    </row>
    <row r="90" spans="1:10" ht="24">
      <c r="A90" s="57" t="s">
        <v>1366</v>
      </c>
      <c r="B90" s="55" t="s">
        <v>1105</v>
      </c>
      <c r="C90" s="55" t="s">
        <v>923</v>
      </c>
      <c r="D90" s="55" t="s">
        <v>649</v>
      </c>
      <c r="E90" s="55" t="s">
        <v>920</v>
      </c>
      <c r="F90" s="153">
        <f t="shared" si="8"/>
        <v>7000</v>
      </c>
      <c r="G90" s="153">
        <f t="shared" si="8"/>
        <v>3715.9</v>
      </c>
      <c r="H90" s="153">
        <f t="shared" si="8"/>
        <v>0</v>
      </c>
      <c r="I90" s="370">
        <f t="shared" si="5"/>
        <v>0</v>
      </c>
      <c r="J90" s="370">
        <f t="shared" si="6"/>
        <v>0</v>
      </c>
    </row>
    <row r="91" spans="1:10" ht="24">
      <c r="A91" s="206" t="s">
        <v>793</v>
      </c>
      <c r="B91" s="55" t="s">
        <v>1105</v>
      </c>
      <c r="C91" s="55" t="s">
        <v>923</v>
      </c>
      <c r="D91" s="55" t="s">
        <v>649</v>
      </c>
      <c r="E91" s="55" t="s">
        <v>794</v>
      </c>
      <c r="F91" s="153">
        <f t="shared" si="8"/>
        <v>7000</v>
      </c>
      <c r="G91" s="153">
        <f t="shared" si="8"/>
        <v>3715.9</v>
      </c>
      <c r="H91" s="153">
        <f t="shared" si="8"/>
        <v>0</v>
      </c>
      <c r="I91" s="370">
        <f t="shared" si="5"/>
        <v>0</v>
      </c>
      <c r="J91" s="370">
        <f t="shared" si="6"/>
        <v>0</v>
      </c>
    </row>
    <row r="92" spans="1:10" ht="24">
      <c r="A92" s="57" t="s">
        <v>1457</v>
      </c>
      <c r="B92" s="55" t="s">
        <v>1105</v>
      </c>
      <c r="C92" s="55" t="s">
        <v>923</v>
      </c>
      <c r="D92" s="55" t="s">
        <v>649</v>
      </c>
      <c r="E92" s="55" t="s">
        <v>1458</v>
      </c>
      <c r="F92" s="60">
        <v>7000</v>
      </c>
      <c r="G92" s="60">
        <v>3715.9</v>
      </c>
      <c r="H92" s="60">
        <v>0</v>
      </c>
      <c r="I92" s="370">
        <f t="shared" si="5"/>
        <v>0</v>
      </c>
      <c r="J92" s="370">
        <f t="shared" si="6"/>
        <v>0</v>
      </c>
    </row>
    <row r="93" spans="1:10" ht="15.75">
      <c r="A93" s="61" t="s">
        <v>1317</v>
      </c>
      <c r="B93" s="55" t="s">
        <v>1105</v>
      </c>
      <c r="C93" s="55" t="s">
        <v>1367</v>
      </c>
      <c r="D93" s="55"/>
      <c r="E93" s="55"/>
      <c r="F93" s="153">
        <f>F94+F99</f>
        <v>200344.4</v>
      </c>
      <c r="G93" s="153">
        <f>G94+G99</f>
        <v>508587</v>
      </c>
      <c r="H93" s="153">
        <f>H94+H99</f>
        <v>480711.69999999995</v>
      </c>
      <c r="I93" s="370">
        <f t="shared" si="5"/>
        <v>239.9426687244565</v>
      </c>
      <c r="J93" s="370">
        <f t="shared" si="6"/>
        <v>94.51906950040012</v>
      </c>
    </row>
    <row r="94" spans="1:10" ht="36">
      <c r="A94" s="56" t="s">
        <v>650</v>
      </c>
      <c r="B94" s="55" t="s">
        <v>1105</v>
      </c>
      <c r="C94" s="55" t="s">
        <v>1367</v>
      </c>
      <c r="D94" s="55" t="s">
        <v>651</v>
      </c>
      <c r="E94" s="55"/>
      <c r="F94" s="153">
        <f aca="true" t="shared" si="9" ref="F94:H97">F95</f>
        <v>2367.5</v>
      </c>
      <c r="G94" s="153">
        <f t="shared" si="9"/>
        <v>2562</v>
      </c>
      <c r="H94" s="153">
        <f t="shared" si="9"/>
        <v>1653.6</v>
      </c>
      <c r="I94" s="370">
        <f t="shared" si="5"/>
        <v>69.84582893347412</v>
      </c>
      <c r="J94" s="370">
        <f t="shared" si="6"/>
        <v>64.54332552693208</v>
      </c>
    </row>
    <row r="95" spans="1:10" ht="36">
      <c r="A95" s="62" t="s">
        <v>652</v>
      </c>
      <c r="B95" s="55" t="s">
        <v>1105</v>
      </c>
      <c r="C95" s="55" t="s">
        <v>1367</v>
      </c>
      <c r="D95" s="55" t="s">
        <v>653</v>
      </c>
      <c r="E95" s="55"/>
      <c r="F95" s="153">
        <f t="shared" si="9"/>
        <v>2367.5</v>
      </c>
      <c r="G95" s="153">
        <f t="shared" si="9"/>
        <v>2562</v>
      </c>
      <c r="H95" s="153">
        <f t="shared" si="9"/>
        <v>1653.6</v>
      </c>
      <c r="I95" s="370">
        <f t="shared" si="5"/>
        <v>69.84582893347412</v>
      </c>
      <c r="J95" s="370">
        <f t="shared" si="6"/>
        <v>64.54332552693208</v>
      </c>
    </row>
    <row r="96" spans="1:10" ht="24">
      <c r="A96" s="57" t="s">
        <v>793</v>
      </c>
      <c r="B96" s="55" t="s">
        <v>1105</v>
      </c>
      <c r="C96" s="55" t="s">
        <v>1367</v>
      </c>
      <c r="D96" s="55" t="s">
        <v>654</v>
      </c>
      <c r="E96" s="55" t="s">
        <v>794</v>
      </c>
      <c r="F96" s="153">
        <f t="shared" si="9"/>
        <v>2367.5</v>
      </c>
      <c r="G96" s="153">
        <f t="shared" si="9"/>
        <v>2562</v>
      </c>
      <c r="H96" s="153">
        <f t="shared" si="9"/>
        <v>1653.6</v>
      </c>
      <c r="I96" s="370">
        <f t="shared" si="5"/>
        <v>69.84582893347412</v>
      </c>
      <c r="J96" s="370">
        <f t="shared" si="6"/>
        <v>64.54332552693208</v>
      </c>
    </row>
    <row r="97" spans="1:10" ht="48">
      <c r="A97" s="62" t="s">
        <v>655</v>
      </c>
      <c r="B97" s="55" t="s">
        <v>1105</v>
      </c>
      <c r="C97" s="55" t="s">
        <v>1367</v>
      </c>
      <c r="D97" s="55" t="s">
        <v>654</v>
      </c>
      <c r="E97" s="55" t="s">
        <v>809</v>
      </c>
      <c r="F97" s="153">
        <f t="shared" si="9"/>
        <v>2367.5</v>
      </c>
      <c r="G97" s="153">
        <f t="shared" si="9"/>
        <v>2562</v>
      </c>
      <c r="H97" s="153">
        <f t="shared" si="9"/>
        <v>1653.6</v>
      </c>
      <c r="I97" s="370">
        <f t="shared" si="5"/>
        <v>69.84582893347412</v>
      </c>
      <c r="J97" s="370">
        <f t="shared" si="6"/>
        <v>64.54332552693208</v>
      </c>
    </row>
    <row r="98" spans="1:10" ht="48">
      <c r="A98" s="62" t="s">
        <v>656</v>
      </c>
      <c r="B98" s="55" t="s">
        <v>1105</v>
      </c>
      <c r="C98" s="55" t="s">
        <v>1367</v>
      </c>
      <c r="D98" s="55" t="s">
        <v>654</v>
      </c>
      <c r="E98" s="55" t="s">
        <v>809</v>
      </c>
      <c r="F98" s="60">
        <v>2367.5</v>
      </c>
      <c r="G98" s="60">
        <f>2367.5+194.5</f>
        <v>2562</v>
      </c>
      <c r="H98" s="60">
        <v>1653.6</v>
      </c>
      <c r="I98" s="370">
        <f t="shared" si="5"/>
        <v>69.84582893347412</v>
      </c>
      <c r="J98" s="370">
        <f t="shared" si="6"/>
        <v>64.54332552693208</v>
      </c>
    </row>
    <row r="99" spans="1:10" ht="24">
      <c r="A99" s="56" t="s">
        <v>66</v>
      </c>
      <c r="B99" s="55" t="s">
        <v>1105</v>
      </c>
      <c r="C99" s="55" t="s">
        <v>1367</v>
      </c>
      <c r="D99" s="55" t="s">
        <v>718</v>
      </c>
      <c r="E99" s="55"/>
      <c r="F99" s="153">
        <f>F100+F107+F118+F127+F136+F144</f>
        <v>197976.9</v>
      </c>
      <c r="G99" s="153">
        <f>G100+G107+G118+G127+G136+G144</f>
        <v>506025</v>
      </c>
      <c r="H99" s="153">
        <f>H100+H107+H118+H127+H136+H144</f>
        <v>479058.1</v>
      </c>
      <c r="I99" s="370">
        <f t="shared" si="5"/>
        <v>241.9767659762326</v>
      </c>
      <c r="J99" s="370">
        <f t="shared" si="6"/>
        <v>94.67083642112544</v>
      </c>
    </row>
    <row r="100" spans="1:10" ht="36">
      <c r="A100" s="62" t="s">
        <v>77</v>
      </c>
      <c r="B100" s="55" t="s">
        <v>1105</v>
      </c>
      <c r="C100" s="55" t="s">
        <v>1367</v>
      </c>
      <c r="D100" s="55" t="s">
        <v>78</v>
      </c>
      <c r="E100" s="55"/>
      <c r="F100" s="153">
        <f>F102+F103</f>
        <v>10623</v>
      </c>
      <c r="G100" s="153">
        <f>G102+G103</f>
        <v>33268</v>
      </c>
      <c r="H100" s="153">
        <f>H102+H103</f>
        <v>32562.000000000004</v>
      </c>
      <c r="I100" s="370">
        <f aca="true" t="shared" si="10" ref="I100:I145">H100/F100*100</f>
        <v>306.5235809093477</v>
      </c>
      <c r="J100" s="370">
        <f aca="true" t="shared" si="11" ref="J100:J145">H100/G100*100</f>
        <v>97.87784056751234</v>
      </c>
    </row>
    <row r="101" spans="1:10" ht="24">
      <c r="A101" s="206" t="s">
        <v>68</v>
      </c>
      <c r="B101" s="55" t="s">
        <v>1105</v>
      </c>
      <c r="C101" s="55" t="s">
        <v>1367</v>
      </c>
      <c r="D101" s="55" t="s">
        <v>657</v>
      </c>
      <c r="E101" s="55" t="s">
        <v>528</v>
      </c>
      <c r="F101" s="153">
        <f>F102</f>
        <v>382</v>
      </c>
      <c r="G101" s="153">
        <f>G102</f>
        <v>1901</v>
      </c>
      <c r="H101" s="153">
        <f>H102</f>
        <v>1810.7</v>
      </c>
      <c r="I101" s="370">
        <f t="shared" si="10"/>
        <v>474.0052356020943</v>
      </c>
      <c r="J101" s="370">
        <f t="shared" si="11"/>
        <v>95.24986849026828</v>
      </c>
    </row>
    <row r="102" spans="1:10" ht="24">
      <c r="A102" s="206" t="s">
        <v>710</v>
      </c>
      <c r="B102" s="55" t="s">
        <v>1105</v>
      </c>
      <c r="C102" s="55" t="s">
        <v>1367</v>
      </c>
      <c r="D102" s="55" t="s">
        <v>657</v>
      </c>
      <c r="E102" s="55" t="s">
        <v>1486</v>
      </c>
      <c r="F102" s="60">
        <v>382</v>
      </c>
      <c r="G102" s="60">
        <f>992+30+100+201+400+100+78</f>
        <v>1901</v>
      </c>
      <c r="H102" s="60">
        <v>1810.7</v>
      </c>
      <c r="I102" s="370">
        <f t="shared" si="10"/>
        <v>474.0052356020943</v>
      </c>
      <c r="J102" s="370">
        <f t="shared" si="11"/>
        <v>95.24986849026828</v>
      </c>
    </row>
    <row r="103" spans="1:10" ht="24">
      <c r="A103" s="206" t="s">
        <v>793</v>
      </c>
      <c r="B103" s="55" t="s">
        <v>1105</v>
      </c>
      <c r="C103" s="55" t="s">
        <v>1367</v>
      </c>
      <c r="D103" s="55" t="s">
        <v>657</v>
      </c>
      <c r="E103" s="55" t="s">
        <v>794</v>
      </c>
      <c r="F103" s="153">
        <f>F104+F105+F106</f>
        <v>10241</v>
      </c>
      <c r="G103" s="153">
        <f>G104+G105+G106</f>
        <v>31367</v>
      </c>
      <c r="H103" s="153">
        <f>H104+H105+H106</f>
        <v>30751.300000000003</v>
      </c>
      <c r="I103" s="370">
        <f t="shared" si="10"/>
        <v>300.27634020115227</v>
      </c>
      <c r="J103" s="370">
        <f t="shared" si="11"/>
        <v>98.03710906366565</v>
      </c>
    </row>
    <row r="104" spans="1:10" ht="24">
      <c r="A104" s="206" t="s">
        <v>658</v>
      </c>
      <c r="B104" s="55" t="s">
        <v>1105</v>
      </c>
      <c r="C104" s="55" t="s">
        <v>1367</v>
      </c>
      <c r="D104" s="55" t="s">
        <v>657</v>
      </c>
      <c r="E104" s="55" t="s">
        <v>659</v>
      </c>
      <c r="F104" s="60">
        <v>500</v>
      </c>
      <c r="G104" s="60">
        <f>730+20712.6</f>
        <v>21442.6</v>
      </c>
      <c r="H104" s="60">
        <v>21432.9</v>
      </c>
      <c r="I104" s="370">
        <f t="shared" si="10"/>
        <v>4286.58</v>
      </c>
      <c r="J104" s="370">
        <f t="shared" si="11"/>
        <v>99.95476294852304</v>
      </c>
    </row>
    <row r="105" spans="1:10" ht="24">
      <c r="A105" s="206" t="s">
        <v>70</v>
      </c>
      <c r="B105" s="55" t="s">
        <v>1105</v>
      </c>
      <c r="C105" s="55" t="s">
        <v>1367</v>
      </c>
      <c r="D105" s="55" t="s">
        <v>657</v>
      </c>
      <c r="E105" s="55" t="s">
        <v>71</v>
      </c>
      <c r="F105" s="60">
        <v>500</v>
      </c>
      <c r="G105" s="60">
        <v>805</v>
      </c>
      <c r="H105" s="60">
        <v>803.9</v>
      </c>
      <c r="I105" s="370">
        <f t="shared" si="10"/>
        <v>160.78</v>
      </c>
      <c r="J105" s="370">
        <f t="shared" si="11"/>
        <v>99.86335403726709</v>
      </c>
    </row>
    <row r="106" spans="1:10" ht="24">
      <c r="A106" s="62" t="s">
        <v>810</v>
      </c>
      <c r="B106" s="55" t="s">
        <v>1105</v>
      </c>
      <c r="C106" s="55" t="s">
        <v>1367</v>
      </c>
      <c r="D106" s="55" t="s">
        <v>657</v>
      </c>
      <c r="E106" s="55" t="s">
        <v>811</v>
      </c>
      <c r="F106" s="60">
        <v>9241</v>
      </c>
      <c r="G106" s="60">
        <f>8923.4+100+96</f>
        <v>9119.4</v>
      </c>
      <c r="H106" s="60">
        <v>8514.5</v>
      </c>
      <c r="I106" s="370">
        <f t="shared" si="10"/>
        <v>92.13829672113407</v>
      </c>
      <c r="J106" s="370">
        <f t="shared" si="11"/>
        <v>93.36688817246748</v>
      </c>
    </row>
    <row r="107" spans="1:10" ht="36">
      <c r="A107" s="62" t="s">
        <v>660</v>
      </c>
      <c r="B107" s="55" t="s">
        <v>1105</v>
      </c>
      <c r="C107" s="55" t="s">
        <v>1367</v>
      </c>
      <c r="D107" s="55" t="s">
        <v>661</v>
      </c>
      <c r="E107" s="55"/>
      <c r="F107" s="153">
        <f>F108+F110+F114+F112+F116</f>
        <v>22057</v>
      </c>
      <c r="G107" s="153">
        <f>G108+G110+G114+G112+G116</f>
        <v>42128.1</v>
      </c>
      <c r="H107" s="153">
        <f>H108+H110+H114+H112+H116</f>
        <v>39939.6</v>
      </c>
      <c r="I107" s="370">
        <f t="shared" si="10"/>
        <v>181.07448882440949</v>
      </c>
      <c r="J107" s="370">
        <f t="shared" si="11"/>
        <v>94.8051300675796</v>
      </c>
    </row>
    <row r="108" spans="1:10" ht="60">
      <c r="A108" s="206" t="s">
        <v>63</v>
      </c>
      <c r="B108" s="55" t="s">
        <v>1105</v>
      </c>
      <c r="C108" s="55" t="s">
        <v>1367</v>
      </c>
      <c r="D108" s="55" t="s">
        <v>662</v>
      </c>
      <c r="E108" s="55" t="s">
        <v>64</v>
      </c>
      <c r="F108" s="153">
        <f>F109</f>
        <v>3268</v>
      </c>
      <c r="G108" s="153">
        <f>G109</f>
        <v>3257.8</v>
      </c>
      <c r="H108" s="153">
        <f>H109</f>
        <v>3122</v>
      </c>
      <c r="I108" s="370">
        <f t="shared" si="10"/>
        <v>95.53243574051407</v>
      </c>
      <c r="J108" s="370">
        <f t="shared" si="11"/>
        <v>95.83154275891705</v>
      </c>
    </row>
    <row r="109" spans="1:10" ht="24">
      <c r="A109" s="62" t="s">
        <v>663</v>
      </c>
      <c r="B109" s="55" t="s">
        <v>1105</v>
      </c>
      <c r="C109" s="55" t="s">
        <v>1367</v>
      </c>
      <c r="D109" s="55" t="s">
        <v>662</v>
      </c>
      <c r="E109" s="55" t="s">
        <v>1459</v>
      </c>
      <c r="F109" s="60">
        <v>3268</v>
      </c>
      <c r="G109" s="60">
        <f>3246-1.1-0.1+13</f>
        <v>3257.8</v>
      </c>
      <c r="H109" s="60">
        <v>3122</v>
      </c>
      <c r="I109" s="370">
        <f t="shared" si="10"/>
        <v>95.53243574051407</v>
      </c>
      <c r="J109" s="370">
        <f t="shared" si="11"/>
        <v>95.83154275891705</v>
      </c>
    </row>
    <row r="110" spans="1:10" ht="24">
      <c r="A110" s="206" t="s">
        <v>68</v>
      </c>
      <c r="B110" s="55" t="s">
        <v>1105</v>
      </c>
      <c r="C110" s="55" t="s">
        <v>1367</v>
      </c>
      <c r="D110" s="55" t="s">
        <v>662</v>
      </c>
      <c r="E110" s="55" t="s">
        <v>528</v>
      </c>
      <c r="F110" s="153">
        <f>F111</f>
        <v>1698</v>
      </c>
      <c r="G110" s="153">
        <f>G111</f>
        <v>1849.6000000000001</v>
      </c>
      <c r="H110" s="153">
        <f>H111</f>
        <v>1331.3</v>
      </c>
      <c r="I110" s="370">
        <f t="shared" si="10"/>
        <v>78.4040047114252</v>
      </c>
      <c r="J110" s="370">
        <f t="shared" si="11"/>
        <v>71.9777249134948</v>
      </c>
    </row>
    <row r="111" spans="1:10" ht="24">
      <c r="A111" s="206" t="s">
        <v>710</v>
      </c>
      <c r="B111" s="55" t="s">
        <v>1105</v>
      </c>
      <c r="C111" s="55" t="s">
        <v>1367</v>
      </c>
      <c r="D111" s="55" t="s">
        <v>662</v>
      </c>
      <c r="E111" s="55" t="s">
        <v>1486</v>
      </c>
      <c r="F111" s="60">
        <v>1698</v>
      </c>
      <c r="G111" s="60">
        <f>1720+37.3+10.4-293.5+161+85.5+129-0.1</f>
        <v>1849.6000000000001</v>
      </c>
      <c r="H111" s="60">
        <v>1331.3</v>
      </c>
      <c r="I111" s="370">
        <f t="shared" si="10"/>
        <v>78.4040047114252</v>
      </c>
      <c r="J111" s="370">
        <f t="shared" si="11"/>
        <v>71.9777249134948</v>
      </c>
    </row>
    <row r="112" spans="1:10" ht="24">
      <c r="A112" s="206" t="s">
        <v>793</v>
      </c>
      <c r="B112" s="55" t="s">
        <v>1105</v>
      </c>
      <c r="C112" s="55" t="s">
        <v>1367</v>
      </c>
      <c r="D112" s="55" t="s">
        <v>662</v>
      </c>
      <c r="E112" s="55" t="s">
        <v>794</v>
      </c>
      <c r="F112" s="60">
        <f>F113</f>
        <v>0</v>
      </c>
      <c r="G112" s="60">
        <f>G113</f>
        <v>6</v>
      </c>
      <c r="H112" s="60">
        <f>H113</f>
        <v>5.7</v>
      </c>
      <c r="I112" s="370"/>
      <c r="J112" s="370">
        <f t="shared" si="11"/>
        <v>95</v>
      </c>
    </row>
    <row r="113" spans="1:10" ht="24">
      <c r="A113" s="206" t="s">
        <v>70</v>
      </c>
      <c r="B113" s="55" t="s">
        <v>1105</v>
      </c>
      <c r="C113" s="55" t="s">
        <v>1367</v>
      </c>
      <c r="D113" s="55" t="s">
        <v>662</v>
      </c>
      <c r="E113" s="55" t="s">
        <v>71</v>
      </c>
      <c r="F113" s="60">
        <v>0</v>
      </c>
      <c r="G113" s="60">
        <v>6</v>
      </c>
      <c r="H113" s="60">
        <v>5.7</v>
      </c>
      <c r="I113" s="370"/>
      <c r="J113" s="370">
        <f t="shared" si="11"/>
        <v>95</v>
      </c>
    </row>
    <row r="114" spans="1:10" ht="24">
      <c r="A114" s="206" t="s">
        <v>793</v>
      </c>
      <c r="B114" s="55" t="s">
        <v>1105</v>
      </c>
      <c r="C114" s="55" t="s">
        <v>1367</v>
      </c>
      <c r="D114" s="55" t="s">
        <v>664</v>
      </c>
      <c r="E114" s="55" t="s">
        <v>794</v>
      </c>
      <c r="F114" s="153">
        <f>F115</f>
        <v>17091</v>
      </c>
      <c r="G114" s="153">
        <f>G115</f>
        <v>17085</v>
      </c>
      <c r="H114" s="153">
        <f>H115</f>
        <v>17085</v>
      </c>
      <c r="I114" s="370">
        <f t="shared" si="10"/>
        <v>99.96489380375635</v>
      </c>
      <c r="J114" s="370">
        <f t="shared" si="11"/>
        <v>100</v>
      </c>
    </row>
    <row r="115" spans="1:10" ht="24">
      <c r="A115" s="206" t="s">
        <v>70</v>
      </c>
      <c r="B115" s="55" t="s">
        <v>1105</v>
      </c>
      <c r="C115" s="55" t="s">
        <v>1367</v>
      </c>
      <c r="D115" s="55" t="s">
        <v>664</v>
      </c>
      <c r="E115" s="55" t="s">
        <v>71</v>
      </c>
      <c r="F115" s="60">
        <v>17091</v>
      </c>
      <c r="G115" s="60">
        <v>17085</v>
      </c>
      <c r="H115" s="60">
        <v>17085</v>
      </c>
      <c r="I115" s="370">
        <f t="shared" si="10"/>
        <v>99.96489380375635</v>
      </c>
      <c r="J115" s="370">
        <f t="shared" si="11"/>
        <v>100</v>
      </c>
    </row>
    <row r="116" spans="1:10" ht="24">
      <c r="A116" s="206" t="s">
        <v>68</v>
      </c>
      <c r="B116" s="55" t="s">
        <v>1105</v>
      </c>
      <c r="C116" s="55" t="s">
        <v>1367</v>
      </c>
      <c r="D116" s="55" t="s">
        <v>665</v>
      </c>
      <c r="E116" s="55" t="s">
        <v>528</v>
      </c>
      <c r="F116" s="153">
        <f>F117</f>
        <v>0</v>
      </c>
      <c r="G116" s="153">
        <f>G117</f>
        <v>19929.699999999997</v>
      </c>
      <c r="H116" s="153">
        <f>H117</f>
        <v>18395.6</v>
      </c>
      <c r="I116" s="370"/>
      <c r="J116" s="370">
        <f t="shared" si="11"/>
        <v>92.3024430874524</v>
      </c>
    </row>
    <row r="117" spans="1:10" ht="24">
      <c r="A117" s="206" t="s">
        <v>710</v>
      </c>
      <c r="B117" s="55" t="s">
        <v>1105</v>
      </c>
      <c r="C117" s="55" t="s">
        <v>1367</v>
      </c>
      <c r="D117" s="55" t="s">
        <v>665</v>
      </c>
      <c r="E117" s="55" t="s">
        <v>1486</v>
      </c>
      <c r="F117" s="60">
        <v>0</v>
      </c>
      <c r="G117" s="60">
        <f>2310.2+31887+0.1-14125.6-13-129</f>
        <v>19929.699999999997</v>
      </c>
      <c r="H117" s="60">
        <v>18395.6</v>
      </c>
      <c r="I117" s="370"/>
      <c r="J117" s="370">
        <f t="shared" si="11"/>
        <v>92.3024430874524</v>
      </c>
    </row>
    <row r="118" spans="1:10" ht="36">
      <c r="A118" s="62" t="s">
        <v>666</v>
      </c>
      <c r="B118" s="55" t="s">
        <v>1105</v>
      </c>
      <c r="C118" s="55" t="s">
        <v>1367</v>
      </c>
      <c r="D118" s="55" t="s">
        <v>667</v>
      </c>
      <c r="E118" s="55"/>
      <c r="F118" s="153">
        <f>F119+F121+F123+F125</f>
        <v>5849</v>
      </c>
      <c r="G118" s="153">
        <f>G119+G121+G123+G125</f>
        <v>5772.8</v>
      </c>
      <c r="H118" s="153">
        <f>H119+H121+H123+H125</f>
        <v>5523.5</v>
      </c>
      <c r="I118" s="370">
        <f t="shared" si="10"/>
        <v>94.43494614464011</v>
      </c>
      <c r="J118" s="370">
        <f t="shared" si="11"/>
        <v>95.68147172949001</v>
      </c>
    </row>
    <row r="119" spans="1:10" ht="60">
      <c r="A119" s="206" t="s">
        <v>63</v>
      </c>
      <c r="B119" s="55" t="s">
        <v>1105</v>
      </c>
      <c r="C119" s="55" t="s">
        <v>1367</v>
      </c>
      <c r="D119" s="55" t="s">
        <v>668</v>
      </c>
      <c r="E119" s="55" t="s">
        <v>64</v>
      </c>
      <c r="F119" s="153">
        <f>F120</f>
        <v>4605</v>
      </c>
      <c r="G119" s="153">
        <f>G120</f>
        <v>4938.5</v>
      </c>
      <c r="H119" s="153">
        <f>H120</f>
        <v>4903.5</v>
      </c>
      <c r="I119" s="370">
        <f t="shared" si="10"/>
        <v>106.48208469055373</v>
      </c>
      <c r="J119" s="370">
        <f t="shared" si="11"/>
        <v>99.2912827781715</v>
      </c>
    </row>
    <row r="120" spans="1:10" ht="24">
      <c r="A120" s="62" t="s">
        <v>663</v>
      </c>
      <c r="B120" s="55" t="s">
        <v>1105</v>
      </c>
      <c r="C120" s="55" t="s">
        <v>1367</v>
      </c>
      <c r="D120" s="55" t="s">
        <v>668</v>
      </c>
      <c r="E120" s="55" t="s">
        <v>1459</v>
      </c>
      <c r="F120" s="60">
        <v>4605</v>
      </c>
      <c r="G120" s="60">
        <f>4605-3.9-1+338.4</f>
        <v>4938.5</v>
      </c>
      <c r="H120" s="60">
        <v>4903.5</v>
      </c>
      <c r="I120" s="370">
        <f t="shared" si="10"/>
        <v>106.48208469055373</v>
      </c>
      <c r="J120" s="370">
        <f t="shared" si="11"/>
        <v>99.2912827781715</v>
      </c>
    </row>
    <row r="121" spans="1:10" ht="24">
      <c r="A121" s="206" t="s">
        <v>68</v>
      </c>
      <c r="B121" s="55" t="s">
        <v>1105</v>
      </c>
      <c r="C121" s="55" t="s">
        <v>1367</v>
      </c>
      <c r="D121" s="55" t="s">
        <v>668</v>
      </c>
      <c r="E121" s="55" t="s">
        <v>528</v>
      </c>
      <c r="F121" s="153">
        <f>F122</f>
        <v>1237</v>
      </c>
      <c r="G121" s="153">
        <f>G122</f>
        <v>827.3000000000001</v>
      </c>
      <c r="H121" s="153">
        <f>H122</f>
        <v>616</v>
      </c>
      <c r="I121" s="370">
        <f t="shared" si="10"/>
        <v>49.797898140662895</v>
      </c>
      <c r="J121" s="370">
        <f t="shared" si="11"/>
        <v>74.45908376646923</v>
      </c>
    </row>
    <row r="122" spans="1:10" ht="24">
      <c r="A122" s="206" t="s">
        <v>710</v>
      </c>
      <c r="B122" s="55" t="s">
        <v>1105</v>
      </c>
      <c r="C122" s="55" t="s">
        <v>1367</v>
      </c>
      <c r="D122" s="55" t="s">
        <v>668</v>
      </c>
      <c r="E122" s="55" t="s">
        <v>1486</v>
      </c>
      <c r="F122" s="60">
        <v>1237</v>
      </c>
      <c r="G122" s="60">
        <f>1237+4.9-76.2-338.4</f>
        <v>827.3000000000001</v>
      </c>
      <c r="H122" s="60">
        <v>616</v>
      </c>
      <c r="I122" s="370">
        <f t="shared" si="10"/>
        <v>49.797898140662895</v>
      </c>
      <c r="J122" s="370">
        <f t="shared" si="11"/>
        <v>74.45908376646923</v>
      </c>
    </row>
    <row r="123" spans="1:10" ht="24">
      <c r="A123" s="206" t="s">
        <v>793</v>
      </c>
      <c r="B123" s="55" t="s">
        <v>1105</v>
      </c>
      <c r="C123" s="55" t="s">
        <v>1367</v>
      </c>
      <c r="D123" s="55" t="s">
        <v>668</v>
      </c>
      <c r="E123" s="55" t="s">
        <v>794</v>
      </c>
      <c r="F123" s="153">
        <f>F124</f>
        <v>7</v>
      </c>
      <c r="G123" s="153">
        <f>G124</f>
        <v>4</v>
      </c>
      <c r="H123" s="153">
        <f>H124</f>
        <v>3.3</v>
      </c>
      <c r="I123" s="370">
        <f t="shared" si="10"/>
        <v>47.14285714285714</v>
      </c>
      <c r="J123" s="370">
        <f t="shared" si="11"/>
        <v>82.5</v>
      </c>
    </row>
    <row r="124" spans="1:10" ht="24">
      <c r="A124" s="206" t="s">
        <v>70</v>
      </c>
      <c r="B124" s="55" t="s">
        <v>1105</v>
      </c>
      <c r="C124" s="55" t="s">
        <v>1367</v>
      </c>
      <c r="D124" s="55" t="s">
        <v>668</v>
      </c>
      <c r="E124" s="55" t="s">
        <v>71</v>
      </c>
      <c r="F124" s="60">
        <v>7</v>
      </c>
      <c r="G124" s="60">
        <v>4</v>
      </c>
      <c r="H124" s="60">
        <v>3.3</v>
      </c>
      <c r="I124" s="370">
        <f t="shared" si="10"/>
        <v>47.14285714285714</v>
      </c>
      <c r="J124" s="370">
        <f t="shared" si="11"/>
        <v>82.5</v>
      </c>
    </row>
    <row r="125" spans="1:10" ht="24">
      <c r="A125" s="206" t="s">
        <v>793</v>
      </c>
      <c r="B125" s="55" t="s">
        <v>1105</v>
      </c>
      <c r="C125" s="55" t="s">
        <v>1367</v>
      </c>
      <c r="D125" s="55" t="s">
        <v>669</v>
      </c>
      <c r="E125" s="55" t="s">
        <v>794</v>
      </c>
      <c r="F125" s="153">
        <f>F126</f>
        <v>0</v>
      </c>
      <c r="G125" s="153">
        <f>G126</f>
        <v>3</v>
      </c>
      <c r="H125" s="153">
        <f>H126</f>
        <v>0.7</v>
      </c>
      <c r="I125" s="370"/>
      <c r="J125" s="370">
        <f t="shared" si="11"/>
        <v>23.333333333333332</v>
      </c>
    </row>
    <row r="126" spans="1:10" ht="24">
      <c r="A126" s="206" t="s">
        <v>70</v>
      </c>
      <c r="B126" s="55" t="s">
        <v>1105</v>
      </c>
      <c r="C126" s="55" t="s">
        <v>1367</v>
      </c>
      <c r="D126" s="55" t="s">
        <v>669</v>
      </c>
      <c r="E126" s="55" t="s">
        <v>71</v>
      </c>
      <c r="F126" s="60">
        <v>0</v>
      </c>
      <c r="G126" s="60">
        <v>3</v>
      </c>
      <c r="H126" s="60">
        <v>0.7</v>
      </c>
      <c r="I126" s="370"/>
      <c r="J126" s="370">
        <f t="shared" si="11"/>
        <v>23.333333333333332</v>
      </c>
    </row>
    <row r="127" spans="1:10" ht="48">
      <c r="A127" s="207" t="s">
        <v>137</v>
      </c>
      <c r="B127" s="55" t="s">
        <v>1105</v>
      </c>
      <c r="C127" s="55" t="s">
        <v>1367</v>
      </c>
      <c r="D127" s="55" t="s">
        <v>138</v>
      </c>
      <c r="E127" s="55"/>
      <c r="F127" s="153">
        <f>F128+F133</f>
        <v>28585.3</v>
      </c>
      <c r="G127" s="153">
        <f>G128+G133</f>
        <v>50720.2</v>
      </c>
      <c r="H127" s="153">
        <f>H128+H133</f>
        <v>29063.7</v>
      </c>
      <c r="I127" s="370">
        <f t="shared" si="10"/>
        <v>101.67358747328173</v>
      </c>
      <c r="J127" s="370">
        <f t="shared" si="11"/>
        <v>57.30202167972524</v>
      </c>
    </row>
    <row r="128" spans="1:10" ht="36">
      <c r="A128" s="62" t="s">
        <v>139</v>
      </c>
      <c r="B128" s="55" t="s">
        <v>1105</v>
      </c>
      <c r="C128" s="55" t="s">
        <v>1367</v>
      </c>
      <c r="D128" s="55" t="s">
        <v>140</v>
      </c>
      <c r="E128" s="55" t="s">
        <v>1454</v>
      </c>
      <c r="F128" s="153">
        <f>F129</f>
        <v>28585.3</v>
      </c>
      <c r="G128" s="153">
        <f>G129</f>
        <v>23561.2</v>
      </c>
      <c r="H128" s="153">
        <f>H129</f>
        <v>22354.9</v>
      </c>
      <c r="I128" s="370">
        <f t="shared" si="10"/>
        <v>78.20418186970227</v>
      </c>
      <c r="J128" s="370">
        <f t="shared" si="11"/>
        <v>94.88014192825493</v>
      </c>
    </row>
    <row r="129" spans="1:10" ht="24">
      <c r="A129" s="57" t="s">
        <v>141</v>
      </c>
      <c r="B129" s="55" t="s">
        <v>1105</v>
      </c>
      <c r="C129" s="55" t="s">
        <v>1367</v>
      </c>
      <c r="D129" s="55" t="s">
        <v>140</v>
      </c>
      <c r="E129" s="55" t="s">
        <v>554</v>
      </c>
      <c r="F129" s="60">
        <v>28585.3</v>
      </c>
      <c r="G129" s="60">
        <f>29729.3-1144+475.9-1364.5+364.5-4000-500</f>
        <v>23561.2</v>
      </c>
      <c r="H129" s="60">
        <f>21520.9+834</f>
        <v>22354.9</v>
      </c>
      <c r="I129" s="370">
        <f t="shared" si="10"/>
        <v>78.20418186970227</v>
      </c>
      <c r="J129" s="370">
        <f t="shared" si="11"/>
        <v>94.88014192825493</v>
      </c>
    </row>
    <row r="130" spans="1:10" ht="24">
      <c r="A130" s="57" t="s">
        <v>142</v>
      </c>
      <c r="B130" s="55" t="s">
        <v>1105</v>
      </c>
      <c r="C130" s="55" t="s">
        <v>1367</v>
      </c>
      <c r="D130" s="55" t="s">
        <v>140</v>
      </c>
      <c r="E130" s="55" t="s">
        <v>554</v>
      </c>
      <c r="F130" s="60">
        <v>0</v>
      </c>
      <c r="G130" s="60">
        <v>475.9</v>
      </c>
      <c r="H130" s="60">
        <v>0</v>
      </c>
      <c r="I130" s="370"/>
      <c r="J130" s="370">
        <f t="shared" si="11"/>
        <v>0</v>
      </c>
    </row>
    <row r="131" spans="1:10" ht="24">
      <c r="A131" s="57" t="s">
        <v>143</v>
      </c>
      <c r="B131" s="55" t="s">
        <v>1105</v>
      </c>
      <c r="C131" s="55" t="s">
        <v>1367</v>
      </c>
      <c r="D131" s="55" t="s">
        <v>140</v>
      </c>
      <c r="E131" s="55" t="s">
        <v>554</v>
      </c>
      <c r="F131" s="60">
        <v>0</v>
      </c>
      <c r="G131" s="60">
        <f>364.5+93+570</f>
        <v>1027.5</v>
      </c>
      <c r="H131" s="60">
        <v>834</v>
      </c>
      <c r="I131" s="370"/>
      <c r="J131" s="370">
        <f t="shared" si="11"/>
        <v>81.16788321167884</v>
      </c>
    </row>
    <row r="132" spans="1:10" ht="24">
      <c r="A132" s="57" t="s">
        <v>144</v>
      </c>
      <c r="B132" s="55" t="s">
        <v>1105</v>
      </c>
      <c r="C132" s="55" t="s">
        <v>1367</v>
      </c>
      <c r="D132" s="55" t="s">
        <v>140</v>
      </c>
      <c r="E132" s="55" t="s">
        <v>554</v>
      </c>
      <c r="F132" s="60">
        <v>0</v>
      </c>
      <c r="G132" s="60">
        <v>537</v>
      </c>
      <c r="H132" s="60">
        <v>0</v>
      </c>
      <c r="I132" s="370"/>
      <c r="J132" s="370">
        <f t="shared" si="11"/>
        <v>0</v>
      </c>
    </row>
    <row r="133" spans="1:10" ht="120">
      <c r="A133" s="375" t="s">
        <v>145</v>
      </c>
      <c r="B133" s="55" t="s">
        <v>1105</v>
      </c>
      <c r="C133" s="55" t="s">
        <v>1367</v>
      </c>
      <c r="D133" s="55" t="s">
        <v>146</v>
      </c>
      <c r="E133" s="55" t="s">
        <v>1454</v>
      </c>
      <c r="F133" s="376">
        <f>F134</f>
        <v>0</v>
      </c>
      <c r="G133" s="376">
        <f>G134</f>
        <v>27159</v>
      </c>
      <c r="H133" s="376">
        <f>H134</f>
        <v>6708.8</v>
      </c>
      <c r="I133" s="370"/>
      <c r="J133" s="370">
        <f t="shared" si="11"/>
        <v>24.70194042490519</v>
      </c>
    </row>
    <row r="134" spans="1:10" ht="24">
      <c r="A134" s="57" t="s">
        <v>141</v>
      </c>
      <c r="B134" s="55" t="s">
        <v>1105</v>
      </c>
      <c r="C134" s="55" t="s">
        <v>1367</v>
      </c>
      <c r="D134" s="55" t="s">
        <v>146</v>
      </c>
      <c r="E134" s="55" t="s">
        <v>554</v>
      </c>
      <c r="F134" s="60">
        <v>0</v>
      </c>
      <c r="G134" s="60">
        <v>27159</v>
      </c>
      <c r="H134" s="60">
        <v>6708.8</v>
      </c>
      <c r="I134" s="370"/>
      <c r="J134" s="370">
        <f t="shared" si="11"/>
        <v>24.70194042490519</v>
      </c>
    </row>
    <row r="135" spans="1:10" ht="24">
      <c r="A135" s="57" t="s">
        <v>147</v>
      </c>
      <c r="B135" s="55" t="s">
        <v>1105</v>
      </c>
      <c r="C135" s="55" t="s">
        <v>1367</v>
      </c>
      <c r="D135" s="55" t="s">
        <v>146</v>
      </c>
      <c r="E135" s="55" t="s">
        <v>554</v>
      </c>
      <c r="F135" s="60">
        <v>0</v>
      </c>
      <c r="G135" s="60">
        <v>972.5</v>
      </c>
      <c r="H135" s="60">
        <v>908.4</v>
      </c>
      <c r="I135" s="370"/>
      <c r="J135" s="370">
        <f t="shared" si="11"/>
        <v>93.40874035989717</v>
      </c>
    </row>
    <row r="136" spans="1:10" ht="48">
      <c r="A136" s="62" t="s">
        <v>148</v>
      </c>
      <c r="B136" s="55" t="s">
        <v>1105</v>
      </c>
      <c r="C136" s="55" t="s">
        <v>1367</v>
      </c>
      <c r="D136" s="55" t="s">
        <v>149</v>
      </c>
      <c r="E136" s="55"/>
      <c r="F136" s="153">
        <f>F137+F142</f>
        <v>36406.899999999994</v>
      </c>
      <c r="G136" s="153">
        <f>G137+G142</f>
        <v>37499.799999999996</v>
      </c>
      <c r="H136" s="153">
        <f>H137+H142</f>
        <v>35589.6</v>
      </c>
      <c r="I136" s="370">
        <f t="shared" si="10"/>
        <v>97.75509587468311</v>
      </c>
      <c r="J136" s="370">
        <f t="shared" si="11"/>
        <v>94.90610616589956</v>
      </c>
    </row>
    <row r="137" spans="1:10" ht="24">
      <c r="A137" s="57" t="s">
        <v>526</v>
      </c>
      <c r="B137" s="55" t="s">
        <v>1105</v>
      </c>
      <c r="C137" s="55" t="s">
        <v>1367</v>
      </c>
      <c r="D137" s="55" t="s">
        <v>150</v>
      </c>
      <c r="E137" s="55" t="s">
        <v>920</v>
      </c>
      <c r="F137" s="153">
        <f>F138+F140</f>
        <v>36404.2</v>
      </c>
      <c r="G137" s="153">
        <f>G138+G140</f>
        <v>37496.1</v>
      </c>
      <c r="H137" s="153">
        <f>H138+H140</f>
        <v>35586</v>
      </c>
      <c r="I137" s="370">
        <f t="shared" si="10"/>
        <v>97.75245713406696</v>
      </c>
      <c r="J137" s="370">
        <f t="shared" si="11"/>
        <v>94.9058702105019</v>
      </c>
    </row>
    <row r="138" spans="1:10" ht="60">
      <c r="A138" s="206" t="s">
        <v>63</v>
      </c>
      <c r="B138" s="55" t="s">
        <v>1105</v>
      </c>
      <c r="C138" s="55" t="s">
        <v>1367</v>
      </c>
      <c r="D138" s="55" t="s">
        <v>150</v>
      </c>
      <c r="E138" s="55" t="s">
        <v>64</v>
      </c>
      <c r="F138" s="153">
        <f>F139</f>
        <v>35782.1</v>
      </c>
      <c r="G138" s="153">
        <f>G139</f>
        <v>36562.7</v>
      </c>
      <c r="H138" s="153">
        <f>H139</f>
        <v>34655.9</v>
      </c>
      <c r="I138" s="370">
        <f t="shared" si="10"/>
        <v>96.85261625226022</v>
      </c>
      <c r="J138" s="370">
        <f t="shared" si="11"/>
        <v>94.78484904014202</v>
      </c>
    </row>
    <row r="139" spans="1:10" ht="24">
      <c r="A139" s="206" t="s">
        <v>65</v>
      </c>
      <c r="B139" s="55" t="s">
        <v>1105</v>
      </c>
      <c r="C139" s="55" t="s">
        <v>1367</v>
      </c>
      <c r="D139" s="55" t="s">
        <v>150</v>
      </c>
      <c r="E139" s="55" t="s">
        <v>527</v>
      </c>
      <c r="F139" s="60">
        <v>35782.1</v>
      </c>
      <c r="G139" s="60">
        <f>35782.1+599.5+181.1</f>
        <v>36562.7</v>
      </c>
      <c r="H139" s="60">
        <v>34655.9</v>
      </c>
      <c r="I139" s="370">
        <f t="shared" si="10"/>
        <v>96.85261625226022</v>
      </c>
      <c r="J139" s="370">
        <f t="shared" si="11"/>
        <v>94.78484904014202</v>
      </c>
    </row>
    <row r="140" spans="1:10" ht="24">
      <c r="A140" s="126" t="s">
        <v>68</v>
      </c>
      <c r="B140" s="55" t="s">
        <v>1105</v>
      </c>
      <c r="C140" s="55" t="s">
        <v>1367</v>
      </c>
      <c r="D140" s="55" t="s">
        <v>150</v>
      </c>
      <c r="E140" s="55" t="s">
        <v>528</v>
      </c>
      <c r="F140" s="153">
        <f>F141</f>
        <v>622.1</v>
      </c>
      <c r="G140" s="153">
        <f>G141</f>
        <v>933.4</v>
      </c>
      <c r="H140" s="153">
        <f>H141</f>
        <v>930.1</v>
      </c>
      <c r="I140" s="370">
        <f t="shared" si="10"/>
        <v>149.50972512457804</v>
      </c>
      <c r="J140" s="370">
        <f t="shared" si="11"/>
        <v>99.6464538247268</v>
      </c>
    </row>
    <row r="141" spans="1:10" ht="24">
      <c r="A141" s="206" t="s">
        <v>69</v>
      </c>
      <c r="B141" s="55" t="s">
        <v>1105</v>
      </c>
      <c r="C141" s="55" t="s">
        <v>1367</v>
      </c>
      <c r="D141" s="55" t="s">
        <v>150</v>
      </c>
      <c r="E141" s="55" t="s">
        <v>1486</v>
      </c>
      <c r="F141" s="60">
        <v>622.1</v>
      </c>
      <c r="G141" s="60">
        <f>622.1+70-1+234.9+7.4</f>
        <v>933.4</v>
      </c>
      <c r="H141" s="60">
        <v>930.1</v>
      </c>
      <c r="I141" s="370">
        <f t="shared" si="10"/>
        <v>149.50972512457804</v>
      </c>
      <c r="J141" s="370">
        <f t="shared" si="11"/>
        <v>99.6464538247268</v>
      </c>
    </row>
    <row r="142" spans="1:10" ht="24">
      <c r="A142" s="206" t="s">
        <v>793</v>
      </c>
      <c r="B142" s="55" t="s">
        <v>1105</v>
      </c>
      <c r="C142" s="55" t="s">
        <v>1367</v>
      </c>
      <c r="D142" s="55" t="s">
        <v>151</v>
      </c>
      <c r="E142" s="55" t="s">
        <v>794</v>
      </c>
      <c r="F142" s="153">
        <f>F143</f>
        <v>2.7</v>
      </c>
      <c r="G142" s="153">
        <f>G143</f>
        <v>3.7</v>
      </c>
      <c r="H142" s="153">
        <f>H143</f>
        <v>3.6</v>
      </c>
      <c r="I142" s="370">
        <f t="shared" si="10"/>
        <v>133.33333333333331</v>
      </c>
      <c r="J142" s="370">
        <f t="shared" si="11"/>
        <v>97.29729729729729</v>
      </c>
    </row>
    <row r="143" spans="1:10" ht="24">
      <c r="A143" s="206" t="s">
        <v>70</v>
      </c>
      <c r="B143" s="55" t="s">
        <v>1105</v>
      </c>
      <c r="C143" s="55" t="s">
        <v>1367</v>
      </c>
      <c r="D143" s="55" t="s">
        <v>151</v>
      </c>
      <c r="E143" s="55" t="s">
        <v>71</v>
      </c>
      <c r="F143" s="60">
        <v>2.7</v>
      </c>
      <c r="G143" s="60">
        <f>2.7+1</f>
        <v>3.7</v>
      </c>
      <c r="H143" s="60">
        <v>3.6</v>
      </c>
      <c r="I143" s="370">
        <f t="shared" si="10"/>
        <v>133.33333333333331</v>
      </c>
      <c r="J143" s="370">
        <f t="shared" si="11"/>
        <v>97.29729729729729</v>
      </c>
    </row>
    <row r="144" spans="1:10" ht="96">
      <c r="A144" s="57" t="s">
        <v>152</v>
      </c>
      <c r="B144" s="55" t="s">
        <v>1105</v>
      </c>
      <c r="C144" s="55" t="s">
        <v>1367</v>
      </c>
      <c r="D144" s="55" t="s">
        <v>153</v>
      </c>
      <c r="E144" s="55"/>
      <c r="F144" s="153">
        <f>F145+F146+F149</f>
        <v>94455.7</v>
      </c>
      <c r="G144" s="153">
        <f>G145+G146+G149</f>
        <v>336636.1</v>
      </c>
      <c r="H144" s="153">
        <f>H145+H146+H149</f>
        <v>336379.7</v>
      </c>
      <c r="I144" s="370">
        <f t="shared" si="10"/>
        <v>356.1242995393608</v>
      </c>
      <c r="J144" s="370">
        <f t="shared" si="11"/>
        <v>99.92383466894965</v>
      </c>
    </row>
    <row r="145" spans="1:10" ht="24">
      <c r="A145" s="126" t="s">
        <v>68</v>
      </c>
      <c r="B145" s="55" t="s">
        <v>1105</v>
      </c>
      <c r="C145" s="55" t="s">
        <v>1367</v>
      </c>
      <c r="D145" s="55" t="s">
        <v>156</v>
      </c>
      <c r="E145" s="55" t="s">
        <v>528</v>
      </c>
      <c r="F145" s="153">
        <v>879.5</v>
      </c>
      <c r="G145" s="153">
        <v>248.2</v>
      </c>
      <c r="H145" s="153">
        <v>208.4</v>
      </c>
      <c r="I145" s="370">
        <f t="shared" si="10"/>
        <v>23.695281409891987</v>
      </c>
      <c r="J145" s="370">
        <f t="shared" si="11"/>
        <v>83.9645447219984</v>
      </c>
    </row>
    <row r="146" spans="1:10" ht="24">
      <c r="A146" s="206" t="s">
        <v>69</v>
      </c>
      <c r="B146" s="55" t="s">
        <v>1105</v>
      </c>
      <c r="C146" s="55" t="s">
        <v>1367</v>
      </c>
      <c r="D146" s="55" t="s">
        <v>157</v>
      </c>
      <c r="E146" s="55" t="s">
        <v>528</v>
      </c>
      <c r="F146" s="153">
        <f>F147</f>
        <v>93576.2</v>
      </c>
      <c r="G146" s="153">
        <f>G147</f>
        <v>336345.8</v>
      </c>
      <c r="H146" s="153">
        <f>H147</f>
        <v>336129.2</v>
      </c>
      <c r="I146" s="370">
        <f aca="true" t="shared" si="12" ref="I146:I188">H146/F146*100</f>
        <v>359.2037291533531</v>
      </c>
      <c r="J146" s="370">
        <f aca="true" t="shared" si="13" ref="J146:J188">H146/G146*100</f>
        <v>99.93560199057042</v>
      </c>
    </row>
    <row r="147" spans="1:10" ht="24">
      <c r="A147" s="206" t="s">
        <v>158</v>
      </c>
      <c r="B147" s="55" t="s">
        <v>1105</v>
      </c>
      <c r="C147" s="55" t="s">
        <v>1367</v>
      </c>
      <c r="D147" s="55" t="s">
        <v>157</v>
      </c>
      <c r="E147" s="55" t="s">
        <v>1486</v>
      </c>
      <c r="F147" s="60">
        <v>93576.2</v>
      </c>
      <c r="G147" s="60">
        <f>720+59.5+30000-15+29.2+30000+450+980+16202+2365.5+406.8+47.5+454.7+0.1+26.1+12.8+682.1+500+30000+80000+7000+301.3+682.1+2950+8193.4+16283+2100+6297+90000+12.6+1174+1054+3938.3-200+2273.4+1365.4</f>
        <v>336345.8</v>
      </c>
      <c r="H147" s="60">
        <v>336129.2</v>
      </c>
      <c r="I147" s="370">
        <f t="shared" si="12"/>
        <v>359.2037291533531</v>
      </c>
      <c r="J147" s="370">
        <f t="shared" si="13"/>
        <v>99.93560199057042</v>
      </c>
    </row>
    <row r="148" spans="1:10" ht="24">
      <c r="A148" s="206" t="s">
        <v>159</v>
      </c>
      <c r="B148" s="55" t="s">
        <v>1105</v>
      </c>
      <c r="C148" s="55" t="s">
        <v>1367</v>
      </c>
      <c r="D148" s="55" t="s">
        <v>157</v>
      </c>
      <c r="E148" s="55" t="s">
        <v>1486</v>
      </c>
      <c r="F148" s="60">
        <v>0</v>
      </c>
      <c r="G148" s="60">
        <f>30000+30000+450+980+16202+2365.5+406.8+500+30000+80000+7000+301.3+2950+8193.4+16283+2100+6297+90000+1174+1054+3938.3+2273.4+1365.4</f>
        <v>333834.10000000003</v>
      </c>
      <c r="H148" s="60">
        <f>30000+30000+450+980+16202+2365.5+406.8+500+30000+80000+7000+301.3+2950+8193.4+16283+2100+6297+90000+1174+1054+3938.3+2273.4+1365.4</f>
        <v>333834.10000000003</v>
      </c>
      <c r="I148" s="370"/>
      <c r="J148" s="370">
        <f t="shared" si="13"/>
        <v>100</v>
      </c>
    </row>
    <row r="149" spans="1:10" ht="24">
      <c r="A149" s="206" t="s">
        <v>793</v>
      </c>
      <c r="B149" s="55" t="s">
        <v>1105</v>
      </c>
      <c r="C149" s="55" t="s">
        <v>1367</v>
      </c>
      <c r="D149" s="55" t="s">
        <v>157</v>
      </c>
      <c r="E149" s="55" t="s">
        <v>794</v>
      </c>
      <c r="F149" s="153"/>
      <c r="G149" s="153">
        <v>42.1</v>
      </c>
      <c r="H149" s="153">
        <v>42.1</v>
      </c>
      <c r="I149" s="370"/>
      <c r="J149" s="370">
        <f t="shared" si="13"/>
        <v>100</v>
      </c>
    </row>
    <row r="150" spans="1:10" ht="25.5">
      <c r="A150" s="124" t="s">
        <v>683</v>
      </c>
      <c r="B150" s="79" t="s">
        <v>530</v>
      </c>
      <c r="C150" s="55"/>
      <c r="D150" s="55"/>
      <c r="E150" s="55"/>
      <c r="F150" s="155">
        <f>F151+F172</f>
        <v>22073.5</v>
      </c>
      <c r="G150" s="155">
        <f>G151+G172</f>
        <v>22422.6</v>
      </c>
      <c r="H150" s="155">
        <f>H151+H172</f>
        <v>20776.6</v>
      </c>
      <c r="I150" s="370">
        <f t="shared" si="12"/>
        <v>94.12462908011868</v>
      </c>
      <c r="J150" s="370">
        <f t="shared" si="13"/>
        <v>92.65919206514856</v>
      </c>
    </row>
    <row r="151" spans="1:10" ht="36">
      <c r="A151" s="61" t="s">
        <v>1290</v>
      </c>
      <c r="B151" s="55" t="s">
        <v>530</v>
      </c>
      <c r="C151" s="55" t="s">
        <v>1291</v>
      </c>
      <c r="D151" s="55"/>
      <c r="E151" s="55"/>
      <c r="F151" s="153">
        <f>F152</f>
        <v>14272</v>
      </c>
      <c r="G151" s="153">
        <f>G152</f>
        <v>12962</v>
      </c>
      <c r="H151" s="153">
        <f>H152</f>
        <v>12282.2</v>
      </c>
      <c r="I151" s="370">
        <f t="shared" si="12"/>
        <v>86.05801569506727</v>
      </c>
      <c r="J151" s="370">
        <f t="shared" si="13"/>
        <v>94.75543897546676</v>
      </c>
    </row>
    <row r="152" spans="1:10" ht="36">
      <c r="A152" s="63" t="s">
        <v>160</v>
      </c>
      <c r="B152" s="55" t="s">
        <v>530</v>
      </c>
      <c r="C152" s="55" t="s">
        <v>1291</v>
      </c>
      <c r="D152" s="55" t="s">
        <v>161</v>
      </c>
      <c r="E152" s="55"/>
      <c r="F152" s="153">
        <f>F153+F163+F167</f>
        <v>14272</v>
      </c>
      <c r="G152" s="153">
        <f>G153+G163+G167</f>
        <v>12962</v>
      </c>
      <c r="H152" s="153">
        <f>H153+H163+H167</f>
        <v>12282.2</v>
      </c>
      <c r="I152" s="370">
        <f t="shared" si="12"/>
        <v>86.05801569506727</v>
      </c>
      <c r="J152" s="370">
        <f t="shared" si="13"/>
        <v>94.75543897546676</v>
      </c>
    </row>
    <row r="153" spans="1:10" ht="48">
      <c r="A153" s="62" t="s">
        <v>162</v>
      </c>
      <c r="B153" s="55" t="s">
        <v>530</v>
      </c>
      <c r="C153" s="55" t="s">
        <v>1291</v>
      </c>
      <c r="D153" s="55" t="s">
        <v>163</v>
      </c>
      <c r="E153" s="55"/>
      <c r="F153" s="153">
        <f>F154+F157</f>
        <v>342</v>
      </c>
      <c r="G153" s="153">
        <f>G154+G157</f>
        <v>342</v>
      </c>
      <c r="H153" s="153">
        <f>H154+H157</f>
        <v>195.7</v>
      </c>
      <c r="I153" s="370">
        <f t="shared" si="12"/>
        <v>57.22222222222222</v>
      </c>
      <c r="J153" s="370">
        <f t="shared" si="13"/>
        <v>57.22222222222222</v>
      </c>
    </row>
    <row r="154" spans="1:10" ht="48.75" customHeight="1">
      <c r="A154" s="57" t="s">
        <v>1292</v>
      </c>
      <c r="B154" s="55" t="s">
        <v>530</v>
      </c>
      <c r="C154" s="55" t="s">
        <v>1291</v>
      </c>
      <c r="D154" s="55" t="s">
        <v>164</v>
      </c>
      <c r="E154" s="55" t="s">
        <v>920</v>
      </c>
      <c r="F154" s="153">
        <f>F156</f>
        <v>211</v>
      </c>
      <c r="G154" s="153">
        <f>G156</f>
        <v>211</v>
      </c>
      <c r="H154" s="153">
        <f>H156</f>
        <v>195.7</v>
      </c>
      <c r="I154" s="370">
        <f t="shared" si="12"/>
        <v>92.74881516587678</v>
      </c>
      <c r="J154" s="370">
        <f t="shared" si="13"/>
        <v>92.74881516587678</v>
      </c>
    </row>
    <row r="155" spans="1:10" ht="27.75" customHeight="1">
      <c r="A155" s="126" t="s">
        <v>68</v>
      </c>
      <c r="B155" s="55" t="s">
        <v>530</v>
      </c>
      <c r="C155" s="55" t="s">
        <v>1291</v>
      </c>
      <c r="D155" s="55" t="s">
        <v>164</v>
      </c>
      <c r="E155" s="55" t="s">
        <v>528</v>
      </c>
      <c r="F155" s="153">
        <f>F156</f>
        <v>211</v>
      </c>
      <c r="G155" s="153">
        <f>G156</f>
        <v>211</v>
      </c>
      <c r="H155" s="153">
        <f>H156</f>
        <v>195.7</v>
      </c>
      <c r="I155" s="370">
        <f t="shared" si="12"/>
        <v>92.74881516587678</v>
      </c>
      <c r="J155" s="370">
        <f t="shared" si="13"/>
        <v>92.74881516587678</v>
      </c>
    </row>
    <row r="156" spans="1:10" ht="26.25" customHeight="1">
      <c r="A156" s="206" t="s">
        <v>710</v>
      </c>
      <c r="B156" s="55" t="s">
        <v>530</v>
      </c>
      <c r="C156" s="55" t="s">
        <v>1291</v>
      </c>
      <c r="D156" s="55" t="s">
        <v>164</v>
      </c>
      <c r="E156" s="55" t="s">
        <v>1486</v>
      </c>
      <c r="F156" s="60">
        <v>211</v>
      </c>
      <c r="G156" s="60">
        <v>211</v>
      </c>
      <c r="H156" s="60">
        <v>195.7</v>
      </c>
      <c r="I156" s="370">
        <f t="shared" si="12"/>
        <v>92.74881516587678</v>
      </c>
      <c r="J156" s="370">
        <f t="shared" si="13"/>
        <v>92.74881516587678</v>
      </c>
    </row>
    <row r="157" spans="1:10" ht="15.75">
      <c r="A157" s="62" t="s">
        <v>1293</v>
      </c>
      <c r="B157" s="55" t="s">
        <v>530</v>
      </c>
      <c r="C157" s="55" t="s">
        <v>1291</v>
      </c>
      <c r="D157" s="55" t="s">
        <v>165</v>
      </c>
      <c r="E157" s="55"/>
      <c r="F157" s="153">
        <f>F158</f>
        <v>131</v>
      </c>
      <c r="G157" s="153">
        <f>G158</f>
        <v>131</v>
      </c>
      <c r="H157" s="153">
        <f>H158</f>
        <v>0</v>
      </c>
      <c r="I157" s="370">
        <f t="shared" si="12"/>
        <v>0</v>
      </c>
      <c r="J157" s="370">
        <f t="shared" si="13"/>
        <v>0</v>
      </c>
    </row>
    <row r="158" spans="1:10" ht="36">
      <c r="A158" s="57" t="s">
        <v>518</v>
      </c>
      <c r="B158" s="55" t="s">
        <v>530</v>
      </c>
      <c r="C158" s="55" t="s">
        <v>1291</v>
      </c>
      <c r="D158" s="55" t="s">
        <v>165</v>
      </c>
      <c r="E158" s="55" t="s">
        <v>920</v>
      </c>
      <c r="F158" s="153">
        <f>F160+F161</f>
        <v>131</v>
      </c>
      <c r="G158" s="153">
        <f>G160+G161</f>
        <v>131</v>
      </c>
      <c r="H158" s="153">
        <f>H160+H161</f>
        <v>0</v>
      </c>
      <c r="I158" s="370">
        <f t="shared" si="12"/>
        <v>0</v>
      </c>
      <c r="J158" s="370">
        <f t="shared" si="13"/>
        <v>0</v>
      </c>
    </row>
    <row r="159" spans="1:10" ht="24">
      <c r="A159" s="126" t="s">
        <v>68</v>
      </c>
      <c r="B159" s="55" t="s">
        <v>530</v>
      </c>
      <c r="C159" s="55" t="s">
        <v>1291</v>
      </c>
      <c r="D159" s="55" t="s">
        <v>165</v>
      </c>
      <c r="E159" s="55" t="s">
        <v>528</v>
      </c>
      <c r="F159" s="153">
        <f>F160</f>
        <v>52.5</v>
      </c>
      <c r="G159" s="153">
        <f>G160</f>
        <v>52.5</v>
      </c>
      <c r="H159" s="153">
        <f>H160</f>
        <v>0</v>
      </c>
      <c r="I159" s="370">
        <f t="shared" si="12"/>
        <v>0</v>
      </c>
      <c r="J159" s="370">
        <f t="shared" si="13"/>
        <v>0</v>
      </c>
    </row>
    <row r="160" spans="1:10" ht="24">
      <c r="A160" s="206" t="s">
        <v>710</v>
      </c>
      <c r="B160" s="55" t="s">
        <v>530</v>
      </c>
      <c r="C160" s="55" t="s">
        <v>1291</v>
      </c>
      <c r="D160" s="55" t="s">
        <v>165</v>
      </c>
      <c r="E160" s="55" t="s">
        <v>1486</v>
      </c>
      <c r="F160" s="60">
        <v>52.5</v>
      </c>
      <c r="G160" s="60">
        <v>52.5</v>
      </c>
      <c r="H160" s="60">
        <v>0</v>
      </c>
      <c r="I160" s="370">
        <f t="shared" si="12"/>
        <v>0</v>
      </c>
      <c r="J160" s="370">
        <f t="shared" si="13"/>
        <v>0</v>
      </c>
    </row>
    <row r="161" spans="1:10" ht="24">
      <c r="A161" s="206" t="s">
        <v>793</v>
      </c>
      <c r="B161" s="55" t="s">
        <v>530</v>
      </c>
      <c r="C161" s="55" t="s">
        <v>1291</v>
      </c>
      <c r="D161" s="55" t="s">
        <v>165</v>
      </c>
      <c r="E161" s="55" t="s">
        <v>794</v>
      </c>
      <c r="F161" s="153">
        <f>F162</f>
        <v>78.5</v>
      </c>
      <c r="G161" s="153">
        <f>G162</f>
        <v>78.5</v>
      </c>
      <c r="H161" s="153">
        <f>H162</f>
        <v>0</v>
      </c>
      <c r="I161" s="370">
        <f t="shared" si="12"/>
        <v>0</v>
      </c>
      <c r="J161" s="370">
        <f t="shared" si="13"/>
        <v>0</v>
      </c>
    </row>
    <row r="162" spans="1:10" ht="24">
      <c r="A162" s="57" t="s">
        <v>810</v>
      </c>
      <c r="B162" s="55" t="s">
        <v>530</v>
      </c>
      <c r="C162" s="55" t="s">
        <v>1291</v>
      </c>
      <c r="D162" s="55" t="s">
        <v>165</v>
      </c>
      <c r="E162" s="55" t="s">
        <v>811</v>
      </c>
      <c r="F162" s="60">
        <v>78.5</v>
      </c>
      <c r="G162" s="60">
        <v>78.5</v>
      </c>
      <c r="H162" s="60">
        <v>0</v>
      </c>
      <c r="I162" s="370">
        <f t="shared" si="12"/>
        <v>0</v>
      </c>
      <c r="J162" s="370">
        <f t="shared" si="13"/>
        <v>0</v>
      </c>
    </row>
    <row r="163" spans="1:10" ht="48">
      <c r="A163" s="62" t="s">
        <v>166</v>
      </c>
      <c r="B163" s="55" t="s">
        <v>530</v>
      </c>
      <c r="C163" s="55" t="s">
        <v>1291</v>
      </c>
      <c r="D163" s="55" t="s">
        <v>167</v>
      </c>
      <c r="E163" s="55"/>
      <c r="F163" s="153">
        <f>F164</f>
        <v>13330</v>
      </c>
      <c r="G163" s="153">
        <f>G164</f>
        <v>11970</v>
      </c>
      <c r="H163" s="153">
        <f>H164</f>
        <v>11643.7</v>
      </c>
      <c r="I163" s="370">
        <f t="shared" si="12"/>
        <v>87.34958739684922</v>
      </c>
      <c r="J163" s="370">
        <f t="shared" si="13"/>
        <v>97.27401837928154</v>
      </c>
    </row>
    <row r="164" spans="1:10" ht="36">
      <c r="A164" s="57" t="s">
        <v>168</v>
      </c>
      <c r="B164" s="55" t="s">
        <v>530</v>
      </c>
      <c r="C164" s="55" t="s">
        <v>1291</v>
      </c>
      <c r="D164" s="55" t="s">
        <v>169</v>
      </c>
      <c r="E164" s="55" t="s">
        <v>920</v>
      </c>
      <c r="F164" s="153">
        <f>F166</f>
        <v>13330</v>
      </c>
      <c r="G164" s="153">
        <f>G166</f>
        <v>11970</v>
      </c>
      <c r="H164" s="153">
        <f>H166</f>
        <v>11643.7</v>
      </c>
      <c r="I164" s="370">
        <f t="shared" si="12"/>
        <v>87.34958739684922</v>
      </c>
      <c r="J164" s="370">
        <f t="shared" si="13"/>
        <v>97.27401837928154</v>
      </c>
    </row>
    <row r="165" spans="1:10" ht="24">
      <c r="A165" s="126" t="s">
        <v>68</v>
      </c>
      <c r="B165" s="55" t="s">
        <v>530</v>
      </c>
      <c r="C165" s="55" t="s">
        <v>1291</v>
      </c>
      <c r="D165" s="55" t="s">
        <v>169</v>
      </c>
      <c r="E165" s="55" t="s">
        <v>528</v>
      </c>
      <c r="F165" s="153">
        <f>F166</f>
        <v>13330</v>
      </c>
      <c r="G165" s="153">
        <f>G166</f>
        <v>11970</v>
      </c>
      <c r="H165" s="153">
        <f>H166</f>
        <v>11643.7</v>
      </c>
      <c r="I165" s="370">
        <f t="shared" si="12"/>
        <v>87.34958739684922</v>
      </c>
      <c r="J165" s="370">
        <f t="shared" si="13"/>
        <v>97.27401837928154</v>
      </c>
    </row>
    <row r="166" spans="1:10" ht="24">
      <c r="A166" s="206" t="s">
        <v>710</v>
      </c>
      <c r="B166" s="55" t="s">
        <v>530</v>
      </c>
      <c r="C166" s="55" t="s">
        <v>1291</v>
      </c>
      <c r="D166" s="55" t="s">
        <v>169</v>
      </c>
      <c r="E166" s="55" t="s">
        <v>1486</v>
      </c>
      <c r="F166" s="60">
        <v>13330</v>
      </c>
      <c r="G166" s="60">
        <f>7030+6300-1360</f>
        <v>11970</v>
      </c>
      <c r="H166" s="60">
        <v>11643.7</v>
      </c>
      <c r="I166" s="370">
        <f t="shared" si="12"/>
        <v>87.34958739684922</v>
      </c>
      <c r="J166" s="370">
        <f t="shared" si="13"/>
        <v>97.27401837928154</v>
      </c>
    </row>
    <row r="167" spans="1:10" ht="36">
      <c r="A167" s="206" t="s">
        <v>170</v>
      </c>
      <c r="B167" s="55" t="s">
        <v>530</v>
      </c>
      <c r="C167" s="55" t="s">
        <v>1291</v>
      </c>
      <c r="D167" s="55" t="s">
        <v>171</v>
      </c>
      <c r="E167" s="55"/>
      <c r="F167" s="153">
        <f>F169+F170</f>
        <v>600</v>
      </c>
      <c r="G167" s="153">
        <f>G169+G170</f>
        <v>650</v>
      </c>
      <c r="H167" s="153">
        <f>H169+H170</f>
        <v>442.8</v>
      </c>
      <c r="I167" s="370">
        <f t="shared" si="12"/>
        <v>73.8</v>
      </c>
      <c r="J167" s="370">
        <f t="shared" si="13"/>
        <v>68.12307692307692</v>
      </c>
    </row>
    <row r="168" spans="1:10" ht="24">
      <c r="A168" s="126" t="s">
        <v>68</v>
      </c>
      <c r="B168" s="55" t="s">
        <v>530</v>
      </c>
      <c r="C168" s="55" t="s">
        <v>1291</v>
      </c>
      <c r="D168" s="55" t="s">
        <v>172</v>
      </c>
      <c r="E168" s="55" t="s">
        <v>528</v>
      </c>
      <c r="F168" s="153">
        <f>F169</f>
        <v>200</v>
      </c>
      <c r="G168" s="153">
        <f>G169</f>
        <v>200</v>
      </c>
      <c r="H168" s="153">
        <f>H169</f>
        <v>38.2</v>
      </c>
      <c r="I168" s="370">
        <f t="shared" si="12"/>
        <v>19.1</v>
      </c>
      <c r="J168" s="370">
        <f t="shared" si="13"/>
        <v>19.1</v>
      </c>
    </row>
    <row r="169" spans="1:10" ht="24">
      <c r="A169" s="206" t="s">
        <v>710</v>
      </c>
      <c r="B169" s="55" t="s">
        <v>530</v>
      </c>
      <c r="C169" s="55" t="s">
        <v>1291</v>
      </c>
      <c r="D169" s="55" t="s">
        <v>172</v>
      </c>
      <c r="E169" s="55" t="s">
        <v>1486</v>
      </c>
      <c r="F169" s="60">
        <v>200</v>
      </c>
      <c r="G169" s="60">
        <v>200</v>
      </c>
      <c r="H169" s="60">
        <v>38.2</v>
      </c>
      <c r="I169" s="370">
        <f t="shared" si="12"/>
        <v>19.1</v>
      </c>
      <c r="J169" s="370">
        <f t="shared" si="13"/>
        <v>19.1</v>
      </c>
    </row>
    <row r="170" spans="1:10" ht="24">
      <c r="A170" s="206" t="s">
        <v>793</v>
      </c>
      <c r="B170" s="55" t="s">
        <v>530</v>
      </c>
      <c r="C170" s="55" t="s">
        <v>1291</v>
      </c>
      <c r="D170" s="55" t="s">
        <v>172</v>
      </c>
      <c r="E170" s="55" t="s">
        <v>794</v>
      </c>
      <c r="F170" s="153">
        <f>F171</f>
        <v>400</v>
      </c>
      <c r="G170" s="153">
        <f>G171</f>
        <v>450</v>
      </c>
      <c r="H170" s="153">
        <f>H171</f>
        <v>404.6</v>
      </c>
      <c r="I170" s="370">
        <f t="shared" si="12"/>
        <v>101.15</v>
      </c>
      <c r="J170" s="370">
        <f t="shared" si="13"/>
        <v>89.91111111111113</v>
      </c>
    </row>
    <row r="171" spans="1:10" ht="24">
      <c r="A171" s="57" t="s">
        <v>810</v>
      </c>
      <c r="B171" s="55" t="s">
        <v>530</v>
      </c>
      <c r="C171" s="55" t="s">
        <v>1291</v>
      </c>
      <c r="D171" s="55" t="s">
        <v>172</v>
      </c>
      <c r="E171" s="55" t="s">
        <v>811</v>
      </c>
      <c r="F171" s="60">
        <v>400</v>
      </c>
      <c r="G171" s="60">
        <f>400+50</f>
        <v>450</v>
      </c>
      <c r="H171" s="60">
        <v>404.6</v>
      </c>
      <c r="I171" s="370">
        <f t="shared" si="12"/>
        <v>101.15</v>
      </c>
      <c r="J171" s="370">
        <f t="shared" si="13"/>
        <v>89.91111111111113</v>
      </c>
    </row>
    <row r="172" spans="1:10" ht="36">
      <c r="A172" s="61" t="s">
        <v>425</v>
      </c>
      <c r="B172" s="55" t="s">
        <v>530</v>
      </c>
      <c r="C172" s="55" t="s">
        <v>682</v>
      </c>
      <c r="D172" s="55"/>
      <c r="E172" s="55"/>
      <c r="F172" s="153">
        <f>F173+F177</f>
        <v>7801.5</v>
      </c>
      <c r="G172" s="153">
        <f>G173+G177</f>
        <v>9460.6</v>
      </c>
      <c r="H172" s="153">
        <f>H173+H177</f>
        <v>8494.4</v>
      </c>
      <c r="I172" s="370">
        <f t="shared" si="12"/>
        <v>108.88162532846246</v>
      </c>
      <c r="J172" s="370">
        <f t="shared" si="13"/>
        <v>89.78711709616725</v>
      </c>
    </row>
    <row r="173" spans="1:10" ht="36">
      <c r="A173" s="56" t="s">
        <v>1024</v>
      </c>
      <c r="B173" s="55" t="s">
        <v>530</v>
      </c>
      <c r="C173" s="55" t="s">
        <v>682</v>
      </c>
      <c r="D173" s="55" t="s">
        <v>161</v>
      </c>
      <c r="E173" s="55"/>
      <c r="F173" s="153">
        <f aca="true" t="shared" si="14" ref="F173:H175">F174</f>
        <v>2084</v>
      </c>
      <c r="G173" s="153">
        <f t="shared" si="14"/>
        <v>1884</v>
      </c>
      <c r="H173" s="153">
        <f t="shared" si="14"/>
        <v>1602.7</v>
      </c>
      <c r="I173" s="370">
        <f t="shared" si="12"/>
        <v>76.90499040307101</v>
      </c>
      <c r="J173" s="370">
        <f t="shared" si="13"/>
        <v>85.06900212314225</v>
      </c>
    </row>
    <row r="174" spans="1:10" ht="36">
      <c r="A174" s="62" t="s">
        <v>1025</v>
      </c>
      <c r="B174" s="55" t="s">
        <v>530</v>
      </c>
      <c r="C174" s="55" t="s">
        <v>682</v>
      </c>
      <c r="D174" s="55" t="s">
        <v>1026</v>
      </c>
      <c r="E174" s="55"/>
      <c r="F174" s="153">
        <f t="shared" si="14"/>
        <v>2084</v>
      </c>
      <c r="G174" s="153">
        <f t="shared" si="14"/>
        <v>1884</v>
      </c>
      <c r="H174" s="153">
        <f t="shared" si="14"/>
        <v>1602.7</v>
      </c>
      <c r="I174" s="370">
        <f t="shared" si="12"/>
        <v>76.90499040307101</v>
      </c>
      <c r="J174" s="370">
        <f t="shared" si="13"/>
        <v>85.06900212314225</v>
      </c>
    </row>
    <row r="175" spans="1:10" ht="24">
      <c r="A175" s="206" t="s">
        <v>68</v>
      </c>
      <c r="B175" s="55" t="s">
        <v>530</v>
      </c>
      <c r="C175" s="55" t="s">
        <v>682</v>
      </c>
      <c r="D175" s="55" t="s">
        <v>1027</v>
      </c>
      <c r="E175" s="55" t="s">
        <v>528</v>
      </c>
      <c r="F175" s="153">
        <f t="shared" si="14"/>
        <v>2084</v>
      </c>
      <c r="G175" s="153">
        <f t="shared" si="14"/>
        <v>1884</v>
      </c>
      <c r="H175" s="153">
        <f t="shared" si="14"/>
        <v>1602.7</v>
      </c>
      <c r="I175" s="370">
        <f t="shared" si="12"/>
        <v>76.90499040307101</v>
      </c>
      <c r="J175" s="370">
        <f t="shared" si="13"/>
        <v>85.06900212314225</v>
      </c>
    </row>
    <row r="176" spans="1:10" ht="24">
      <c r="A176" s="206" t="s">
        <v>69</v>
      </c>
      <c r="B176" s="55" t="s">
        <v>530</v>
      </c>
      <c r="C176" s="55" t="s">
        <v>682</v>
      </c>
      <c r="D176" s="55" t="s">
        <v>1027</v>
      </c>
      <c r="E176" s="55" t="s">
        <v>1486</v>
      </c>
      <c r="F176" s="60">
        <v>2084</v>
      </c>
      <c r="G176" s="60">
        <f>2084-200</f>
        <v>1884</v>
      </c>
      <c r="H176" s="60">
        <v>1602.7</v>
      </c>
      <c r="I176" s="370">
        <f t="shared" si="12"/>
        <v>76.90499040307101</v>
      </c>
      <c r="J176" s="370">
        <f t="shared" si="13"/>
        <v>85.06900212314225</v>
      </c>
    </row>
    <row r="177" spans="1:10" ht="36">
      <c r="A177" s="64" t="s">
        <v>1028</v>
      </c>
      <c r="B177" s="55" t="s">
        <v>530</v>
      </c>
      <c r="C177" s="55" t="s">
        <v>682</v>
      </c>
      <c r="D177" s="55" t="s">
        <v>1029</v>
      </c>
      <c r="E177" s="55" t="s">
        <v>920</v>
      </c>
      <c r="F177" s="153">
        <f>F178+F180</f>
        <v>5717.5</v>
      </c>
      <c r="G177" s="153">
        <f>G178+G180</f>
        <v>7576.6</v>
      </c>
      <c r="H177" s="153">
        <f>H178+H180</f>
        <v>6891.7</v>
      </c>
      <c r="I177" s="370">
        <f t="shared" si="12"/>
        <v>120.53694796676868</v>
      </c>
      <c r="J177" s="370">
        <f t="shared" si="13"/>
        <v>90.96032521183643</v>
      </c>
    </row>
    <row r="178" spans="1:10" ht="24">
      <c r="A178" s="206" t="s">
        <v>68</v>
      </c>
      <c r="B178" s="55" t="s">
        <v>530</v>
      </c>
      <c r="C178" s="55" t="s">
        <v>682</v>
      </c>
      <c r="D178" s="55" t="s">
        <v>1030</v>
      </c>
      <c r="E178" s="55" t="s">
        <v>528</v>
      </c>
      <c r="F178" s="153">
        <f>F179</f>
        <v>4517.5</v>
      </c>
      <c r="G178" s="153">
        <f>G179</f>
        <v>6376.6</v>
      </c>
      <c r="H178" s="153">
        <f>H179</f>
        <v>6123.5</v>
      </c>
      <c r="I178" s="370">
        <f t="shared" si="12"/>
        <v>135.55063641394577</v>
      </c>
      <c r="J178" s="370">
        <f t="shared" si="13"/>
        <v>96.03080011291283</v>
      </c>
    </row>
    <row r="179" spans="1:10" ht="24">
      <c r="A179" s="206" t="s">
        <v>69</v>
      </c>
      <c r="B179" s="55" t="s">
        <v>530</v>
      </c>
      <c r="C179" s="55" t="s">
        <v>682</v>
      </c>
      <c r="D179" s="55" t="s">
        <v>1030</v>
      </c>
      <c r="E179" s="55" t="s">
        <v>1486</v>
      </c>
      <c r="F179" s="60">
        <f>4517.5</f>
        <v>4517.5</v>
      </c>
      <c r="G179" s="60">
        <f>4517.5+1121.5+1537.6-800</f>
        <v>6376.6</v>
      </c>
      <c r="H179" s="60">
        <v>6123.5</v>
      </c>
      <c r="I179" s="370">
        <f t="shared" si="12"/>
        <v>135.55063641394577</v>
      </c>
      <c r="J179" s="370">
        <f t="shared" si="13"/>
        <v>96.03080011291283</v>
      </c>
    </row>
    <row r="180" spans="1:10" ht="24">
      <c r="A180" s="206" t="s">
        <v>793</v>
      </c>
      <c r="B180" s="55" t="s">
        <v>530</v>
      </c>
      <c r="C180" s="55" t="s">
        <v>682</v>
      </c>
      <c r="D180" s="55" t="s">
        <v>1030</v>
      </c>
      <c r="E180" s="55" t="s">
        <v>794</v>
      </c>
      <c r="F180" s="153">
        <f>F181</f>
        <v>1200</v>
      </c>
      <c r="G180" s="153">
        <f>G181</f>
        <v>1200</v>
      </c>
      <c r="H180" s="153">
        <f>H181</f>
        <v>768.2</v>
      </c>
      <c r="I180" s="370">
        <f t="shared" si="12"/>
        <v>64.01666666666667</v>
      </c>
      <c r="J180" s="370">
        <f t="shared" si="13"/>
        <v>64.01666666666667</v>
      </c>
    </row>
    <row r="181" spans="1:10" ht="24">
      <c r="A181" s="57" t="s">
        <v>810</v>
      </c>
      <c r="B181" s="55" t="s">
        <v>530</v>
      </c>
      <c r="C181" s="55" t="s">
        <v>682</v>
      </c>
      <c r="D181" s="55" t="s">
        <v>1030</v>
      </c>
      <c r="E181" s="55" t="s">
        <v>811</v>
      </c>
      <c r="F181" s="60">
        <v>1200</v>
      </c>
      <c r="G181" s="60">
        <v>1200</v>
      </c>
      <c r="H181" s="60">
        <v>768.2</v>
      </c>
      <c r="I181" s="370">
        <f t="shared" si="12"/>
        <v>64.01666666666667</v>
      </c>
      <c r="J181" s="370">
        <f t="shared" si="13"/>
        <v>64.01666666666667</v>
      </c>
    </row>
    <row r="182" spans="1:10" ht="23.25" customHeight="1">
      <c r="A182" s="124" t="s">
        <v>676</v>
      </c>
      <c r="B182" s="69" t="s">
        <v>1151</v>
      </c>
      <c r="C182" s="69"/>
      <c r="D182" s="68"/>
      <c r="E182" s="68"/>
      <c r="F182" s="152">
        <f>F183+F190++F205+F219+F234</f>
        <v>319366.5</v>
      </c>
      <c r="G182" s="152">
        <f>G183+G190++G205+G219+G234</f>
        <v>384105</v>
      </c>
      <c r="H182" s="152">
        <f>H183+H190++H205+H219+H234</f>
        <v>376173.6</v>
      </c>
      <c r="I182" s="370">
        <f t="shared" si="12"/>
        <v>117.78743230739603</v>
      </c>
      <c r="J182" s="370">
        <f t="shared" si="13"/>
        <v>97.93509587222243</v>
      </c>
    </row>
    <row r="183" spans="1:10" ht="15.75">
      <c r="A183" s="71" t="s">
        <v>1184</v>
      </c>
      <c r="B183" s="123" t="s">
        <v>1151</v>
      </c>
      <c r="C183" s="123" t="s">
        <v>418</v>
      </c>
      <c r="D183" s="68"/>
      <c r="E183" s="68"/>
      <c r="F183" s="153">
        <f>F186</f>
        <v>1000</v>
      </c>
      <c r="G183" s="153">
        <f>G186</f>
        <v>2500</v>
      </c>
      <c r="H183" s="153">
        <f>H186</f>
        <v>2500</v>
      </c>
      <c r="I183" s="370">
        <f t="shared" si="12"/>
        <v>250</v>
      </c>
      <c r="J183" s="370">
        <f t="shared" si="13"/>
        <v>100</v>
      </c>
    </row>
    <row r="184" spans="1:10" ht="24">
      <c r="A184" s="56" t="s">
        <v>1031</v>
      </c>
      <c r="B184" s="123" t="s">
        <v>1151</v>
      </c>
      <c r="C184" s="123" t="s">
        <v>418</v>
      </c>
      <c r="D184" s="68" t="s">
        <v>1032</v>
      </c>
      <c r="E184" s="68"/>
      <c r="F184" s="153">
        <f aca="true" t="shared" si="15" ref="F184:H188">F185</f>
        <v>1000</v>
      </c>
      <c r="G184" s="153">
        <f t="shared" si="15"/>
        <v>2500</v>
      </c>
      <c r="H184" s="153">
        <f t="shared" si="15"/>
        <v>2500</v>
      </c>
      <c r="I184" s="370">
        <f t="shared" si="12"/>
        <v>250</v>
      </c>
      <c r="J184" s="370">
        <f t="shared" si="13"/>
        <v>100</v>
      </c>
    </row>
    <row r="185" spans="1:10" ht="36">
      <c r="A185" s="62" t="s">
        <v>1033</v>
      </c>
      <c r="B185" s="123" t="s">
        <v>1151</v>
      </c>
      <c r="C185" s="123" t="s">
        <v>418</v>
      </c>
      <c r="D185" s="68" t="s">
        <v>1034</v>
      </c>
      <c r="E185" s="68"/>
      <c r="F185" s="153">
        <f t="shared" si="15"/>
        <v>1000</v>
      </c>
      <c r="G185" s="153">
        <f t="shared" si="15"/>
        <v>2500</v>
      </c>
      <c r="H185" s="153">
        <f t="shared" si="15"/>
        <v>2500</v>
      </c>
      <c r="I185" s="370">
        <f t="shared" si="12"/>
        <v>250</v>
      </c>
      <c r="J185" s="370">
        <f t="shared" si="13"/>
        <v>100</v>
      </c>
    </row>
    <row r="186" spans="1:10" ht="15.75">
      <c r="A186" s="62" t="s">
        <v>632</v>
      </c>
      <c r="B186" s="123" t="s">
        <v>1151</v>
      </c>
      <c r="C186" s="123" t="s">
        <v>418</v>
      </c>
      <c r="D186" s="68" t="s">
        <v>1035</v>
      </c>
      <c r="E186" s="68"/>
      <c r="F186" s="153">
        <f t="shared" si="15"/>
        <v>1000</v>
      </c>
      <c r="G186" s="153">
        <f t="shared" si="15"/>
        <v>2500</v>
      </c>
      <c r="H186" s="153">
        <f t="shared" si="15"/>
        <v>2500</v>
      </c>
      <c r="I186" s="370">
        <f t="shared" si="12"/>
        <v>250</v>
      </c>
      <c r="J186" s="370">
        <f t="shared" si="13"/>
        <v>100</v>
      </c>
    </row>
    <row r="187" spans="1:10" ht="24">
      <c r="A187" s="62" t="s">
        <v>633</v>
      </c>
      <c r="B187" s="123" t="s">
        <v>1151</v>
      </c>
      <c r="C187" s="123" t="s">
        <v>418</v>
      </c>
      <c r="D187" s="68" t="s">
        <v>1035</v>
      </c>
      <c r="E187" s="68" t="s">
        <v>920</v>
      </c>
      <c r="F187" s="159">
        <f t="shared" si="15"/>
        <v>1000</v>
      </c>
      <c r="G187" s="159">
        <f t="shared" si="15"/>
        <v>2500</v>
      </c>
      <c r="H187" s="159">
        <f t="shared" si="15"/>
        <v>2500</v>
      </c>
      <c r="I187" s="370">
        <f t="shared" si="12"/>
        <v>250</v>
      </c>
      <c r="J187" s="370">
        <f t="shared" si="13"/>
        <v>100</v>
      </c>
    </row>
    <row r="188" spans="1:10" ht="36">
      <c r="A188" s="62" t="s">
        <v>139</v>
      </c>
      <c r="B188" s="123" t="s">
        <v>1151</v>
      </c>
      <c r="C188" s="123" t="s">
        <v>418</v>
      </c>
      <c r="D188" s="68" t="s">
        <v>1035</v>
      </c>
      <c r="E188" s="55" t="s">
        <v>1454</v>
      </c>
      <c r="F188" s="159">
        <f t="shared" si="15"/>
        <v>1000</v>
      </c>
      <c r="G188" s="159">
        <f t="shared" si="15"/>
        <v>2500</v>
      </c>
      <c r="H188" s="159">
        <f t="shared" si="15"/>
        <v>2500</v>
      </c>
      <c r="I188" s="370">
        <f t="shared" si="12"/>
        <v>250</v>
      </c>
      <c r="J188" s="370">
        <f t="shared" si="13"/>
        <v>100</v>
      </c>
    </row>
    <row r="189" spans="1:10" ht="24">
      <c r="A189" s="57" t="s">
        <v>553</v>
      </c>
      <c r="B189" s="123" t="s">
        <v>1151</v>
      </c>
      <c r="C189" s="123" t="s">
        <v>418</v>
      </c>
      <c r="D189" s="68" t="s">
        <v>1035</v>
      </c>
      <c r="E189" s="68" t="s">
        <v>554</v>
      </c>
      <c r="F189" s="54">
        <f>1000</f>
        <v>1000</v>
      </c>
      <c r="G189" s="54">
        <f>1000+1500</f>
        <v>2500</v>
      </c>
      <c r="H189" s="54">
        <f>1000+1500</f>
        <v>2500</v>
      </c>
      <c r="I189" s="370">
        <f aca="true" t="shared" si="16" ref="I189:I244">H189/F189*100</f>
        <v>250</v>
      </c>
      <c r="J189" s="370">
        <f aca="true" t="shared" si="17" ref="J189:J244">H189/G189*100</f>
        <v>100</v>
      </c>
    </row>
    <row r="190" spans="1:10" ht="15.75">
      <c r="A190" s="61" t="s">
        <v>1185</v>
      </c>
      <c r="B190" s="55" t="s">
        <v>1151</v>
      </c>
      <c r="C190" s="55" t="s">
        <v>419</v>
      </c>
      <c r="D190" s="55"/>
      <c r="E190" s="55"/>
      <c r="F190" s="153">
        <f>F193</f>
        <v>100845.9</v>
      </c>
      <c r="G190" s="153">
        <f>G193</f>
        <v>101443.9</v>
      </c>
      <c r="H190" s="153">
        <f>H193</f>
        <v>101340.8</v>
      </c>
      <c r="I190" s="370">
        <f t="shared" si="16"/>
        <v>100.4907487562707</v>
      </c>
      <c r="J190" s="370">
        <f t="shared" si="17"/>
        <v>99.89836747207079</v>
      </c>
    </row>
    <row r="191" spans="1:10" ht="36">
      <c r="A191" s="56" t="s">
        <v>1036</v>
      </c>
      <c r="B191" s="55" t="s">
        <v>1151</v>
      </c>
      <c r="C191" s="55" t="s">
        <v>419</v>
      </c>
      <c r="D191" s="55" t="s">
        <v>1037</v>
      </c>
      <c r="E191" s="55"/>
      <c r="F191" s="153">
        <f aca="true" t="shared" si="18" ref="F191:H192">F192</f>
        <v>100845.9</v>
      </c>
      <c r="G191" s="153">
        <f t="shared" si="18"/>
        <v>101443.9</v>
      </c>
      <c r="H191" s="153">
        <f t="shared" si="18"/>
        <v>101340.8</v>
      </c>
      <c r="I191" s="370">
        <f t="shared" si="16"/>
        <v>100.4907487562707</v>
      </c>
      <c r="J191" s="370">
        <f t="shared" si="17"/>
        <v>99.89836747207079</v>
      </c>
    </row>
    <row r="192" spans="1:10" ht="36">
      <c r="A192" s="62" t="s">
        <v>1038</v>
      </c>
      <c r="B192" s="55" t="s">
        <v>1151</v>
      </c>
      <c r="C192" s="55" t="s">
        <v>419</v>
      </c>
      <c r="D192" s="55" t="s">
        <v>1039</v>
      </c>
      <c r="E192" s="55"/>
      <c r="F192" s="153">
        <f t="shared" si="18"/>
        <v>100845.9</v>
      </c>
      <c r="G192" s="153">
        <f t="shared" si="18"/>
        <v>101443.9</v>
      </c>
      <c r="H192" s="153">
        <f t="shared" si="18"/>
        <v>101340.8</v>
      </c>
      <c r="I192" s="370">
        <f t="shared" si="16"/>
        <v>100.4907487562707</v>
      </c>
      <c r="J192" s="370">
        <f t="shared" si="17"/>
        <v>99.89836747207079</v>
      </c>
    </row>
    <row r="193" spans="1:10" ht="24">
      <c r="A193" s="62" t="s">
        <v>635</v>
      </c>
      <c r="B193" s="55" t="s">
        <v>1151</v>
      </c>
      <c r="C193" s="55" t="s">
        <v>419</v>
      </c>
      <c r="D193" s="55" t="s">
        <v>1039</v>
      </c>
      <c r="E193" s="55" t="s">
        <v>920</v>
      </c>
      <c r="F193" s="153">
        <f>F194+F196+F199+F202</f>
        <v>100845.9</v>
      </c>
      <c r="G193" s="153">
        <f>G194+G196+G199+G202</f>
        <v>101443.9</v>
      </c>
      <c r="H193" s="153">
        <f>H194+H196+H199+H202</f>
        <v>101340.8</v>
      </c>
      <c r="I193" s="370">
        <f t="shared" si="16"/>
        <v>100.4907487562707</v>
      </c>
      <c r="J193" s="370">
        <f t="shared" si="17"/>
        <v>99.89836747207079</v>
      </c>
    </row>
    <row r="194" spans="1:10" ht="24">
      <c r="A194" s="206" t="s">
        <v>68</v>
      </c>
      <c r="B194" s="55" t="s">
        <v>1151</v>
      </c>
      <c r="C194" s="55" t="s">
        <v>419</v>
      </c>
      <c r="D194" s="55" t="s">
        <v>1040</v>
      </c>
      <c r="E194" s="55" t="s">
        <v>528</v>
      </c>
      <c r="F194" s="153">
        <f>F195</f>
        <v>100355.9</v>
      </c>
      <c r="G194" s="153">
        <f>G195</f>
        <v>100355.9</v>
      </c>
      <c r="H194" s="153">
        <f>H195</f>
        <v>100252.8</v>
      </c>
      <c r="I194" s="370">
        <f t="shared" si="16"/>
        <v>99.89726563161709</v>
      </c>
      <c r="J194" s="370">
        <f t="shared" si="17"/>
        <v>99.89726563161709</v>
      </c>
    </row>
    <row r="195" spans="1:10" ht="30" customHeight="1">
      <c r="A195" s="206" t="s">
        <v>710</v>
      </c>
      <c r="B195" s="55" t="s">
        <v>1151</v>
      </c>
      <c r="C195" s="55" t="s">
        <v>419</v>
      </c>
      <c r="D195" s="55" t="s">
        <v>1040</v>
      </c>
      <c r="E195" s="55" t="s">
        <v>1486</v>
      </c>
      <c r="F195" s="60">
        <v>100355.9</v>
      </c>
      <c r="G195" s="60">
        <v>100355.9</v>
      </c>
      <c r="H195" s="60">
        <v>100252.8</v>
      </c>
      <c r="I195" s="370">
        <f t="shared" si="16"/>
        <v>99.89726563161709</v>
      </c>
      <c r="J195" s="370">
        <f t="shared" si="17"/>
        <v>99.89726563161709</v>
      </c>
    </row>
    <row r="196" spans="1:10" ht="24">
      <c r="A196" s="62" t="s">
        <v>636</v>
      </c>
      <c r="B196" s="55" t="s">
        <v>1151</v>
      </c>
      <c r="C196" s="55" t="s">
        <v>419</v>
      </c>
      <c r="D196" s="55" t="s">
        <v>1041</v>
      </c>
      <c r="E196" s="55" t="s">
        <v>920</v>
      </c>
      <c r="F196" s="153">
        <f aca="true" t="shared" si="19" ref="F196:H197">F197</f>
        <v>0</v>
      </c>
      <c r="G196" s="153">
        <f t="shared" si="19"/>
        <v>598</v>
      </c>
      <c r="H196" s="153">
        <f t="shared" si="19"/>
        <v>598</v>
      </c>
      <c r="I196" s="370"/>
      <c r="J196" s="370">
        <f t="shared" si="17"/>
        <v>100</v>
      </c>
    </row>
    <row r="197" spans="1:10" ht="24">
      <c r="A197" s="206" t="s">
        <v>793</v>
      </c>
      <c r="B197" s="55" t="s">
        <v>1151</v>
      </c>
      <c r="C197" s="55" t="s">
        <v>419</v>
      </c>
      <c r="D197" s="55" t="s">
        <v>1041</v>
      </c>
      <c r="E197" s="55" t="s">
        <v>794</v>
      </c>
      <c r="F197" s="153">
        <f t="shared" si="19"/>
        <v>0</v>
      </c>
      <c r="G197" s="153">
        <f t="shared" si="19"/>
        <v>598</v>
      </c>
      <c r="H197" s="153">
        <f t="shared" si="19"/>
        <v>598</v>
      </c>
      <c r="I197" s="370"/>
      <c r="J197" s="370">
        <f t="shared" si="17"/>
        <v>100</v>
      </c>
    </row>
    <row r="198" spans="1:10" ht="51" customHeight="1">
      <c r="A198" s="57" t="s">
        <v>1042</v>
      </c>
      <c r="B198" s="55" t="s">
        <v>1151</v>
      </c>
      <c r="C198" s="55" t="s">
        <v>419</v>
      </c>
      <c r="D198" s="55" t="s">
        <v>1041</v>
      </c>
      <c r="E198" s="55" t="s">
        <v>809</v>
      </c>
      <c r="F198" s="60">
        <v>0</v>
      </c>
      <c r="G198" s="60">
        <v>598</v>
      </c>
      <c r="H198" s="60">
        <v>598</v>
      </c>
      <c r="I198" s="370"/>
      <c r="J198" s="370">
        <f t="shared" si="17"/>
        <v>100</v>
      </c>
    </row>
    <row r="199" spans="1:10" ht="87.75" customHeight="1">
      <c r="A199" s="57" t="s">
        <v>1043</v>
      </c>
      <c r="B199" s="55" t="s">
        <v>1151</v>
      </c>
      <c r="C199" s="55" t="s">
        <v>419</v>
      </c>
      <c r="D199" s="55" t="s">
        <v>1044</v>
      </c>
      <c r="E199" s="55" t="s">
        <v>920</v>
      </c>
      <c r="F199" s="153">
        <f aca="true" t="shared" si="20" ref="F199:H200">F200</f>
        <v>125</v>
      </c>
      <c r="G199" s="153">
        <f t="shared" si="20"/>
        <v>125</v>
      </c>
      <c r="H199" s="153">
        <f t="shared" si="20"/>
        <v>125</v>
      </c>
      <c r="I199" s="370">
        <f t="shared" si="16"/>
        <v>100</v>
      </c>
      <c r="J199" s="370">
        <f t="shared" si="17"/>
        <v>100</v>
      </c>
    </row>
    <row r="200" spans="1:10" ht="19.5" customHeight="1">
      <c r="A200" s="206" t="s">
        <v>68</v>
      </c>
      <c r="B200" s="55" t="s">
        <v>1151</v>
      </c>
      <c r="C200" s="55" t="s">
        <v>419</v>
      </c>
      <c r="D200" s="55" t="s">
        <v>1044</v>
      </c>
      <c r="E200" s="55" t="s">
        <v>528</v>
      </c>
      <c r="F200" s="153">
        <f t="shared" si="20"/>
        <v>125</v>
      </c>
      <c r="G200" s="153">
        <f t="shared" si="20"/>
        <v>125</v>
      </c>
      <c r="H200" s="153">
        <f t="shared" si="20"/>
        <v>125</v>
      </c>
      <c r="I200" s="370">
        <f t="shared" si="16"/>
        <v>100</v>
      </c>
      <c r="J200" s="370">
        <f t="shared" si="17"/>
        <v>100</v>
      </c>
    </row>
    <row r="201" spans="1:10" ht="23.25" customHeight="1">
      <c r="A201" s="206" t="s">
        <v>710</v>
      </c>
      <c r="B201" s="55" t="s">
        <v>1151</v>
      </c>
      <c r="C201" s="55" t="s">
        <v>419</v>
      </c>
      <c r="D201" s="55" t="s">
        <v>1044</v>
      </c>
      <c r="E201" s="55" t="s">
        <v>1486</v>
      </c>
      <c r="F201" s="60">
        <f>365-240</f>
        <v>125</v>
      </c>
      <c r="G201" s="60">
        <f>365-240</f>
        <v>125</v>
      </c>
      <c r="H201" s="60">
        <f>365-240</f>
        <v>125</v>
      </c>
      <c r="I201" s="370">
        <f t="shared" si="16"/>
        <v>100</v>
      </c>
      <c r="J201" s="370">
        <f t="shared" si="17"/>
        <v>100</v>
      </c>
    </row>
    <row r="202" spans="1:10" ht="93.75" customHeight="1">
      <c r="A202" s="57" t="s">
        <v>1045</v>
      </c>
      <c r="B202" s="55" t="s">
        <v>1151</v>
      </c>
      <c r="C202" s="55" t="s">
        <v>419</v>
      </c>
      <c r="D202" s="55" t="s">
        <v>1046</v>
      </c>
      <c r="E202" s="55" t="s">
        <v>920</v>
      </c>
      <c r="F202" s="153">
        <f aca="true" t="shared" si="21" ref="F202:H203">F203</f>
        <v>365</v>
      </c>
      <c r="G202" s="153">
        <f t="shared" si="21"/>
        <v>365</v>
      </c>
      <c r="H202" s="153">
        <f t="shared" si="21"/>
        <v>365</v>
      </c>
      <c r="I202" s="370">
        <f t="shared" si="16"/>
        <v>100</v>
      </c>
      <c r="J202" s="370">
        <f t="shared" si="17"/>
        <v>100</v>
      </c>
    </row>
    <row r="203" spans="1:10" ht="27.75" customHeight="1">
      <c r="A203" s="206" t="s">
        <v>68</v>
      </c>
      <c r="B203" s="55" t="s">
        <v>1151</v>
      </c>
      <c r="C203" s="55" t="s">
        <v>419</v>
      </c>
      <c r="D203" s="55" t="s">
        <v>1046</v>
      </c>
      <c r="E203" s="55" t="s">
        <v>528</v>
      </c>
      <c r="F203" s="153">
        <f t="shared" si="21"/>
        <v>365</v>
      </c>
      <c r="G203" s="153">
        <f t="shared" si="21"/>
        <v>365</v>
      </c>
      <c r="H203" s="153">
        <f t="shared" si="21"/>
        <v>365</v>
      </c>
      <c r="I203" s="370">
        <f t="shared" si="16"/>
        <v>100</v>
      </c>
      <c r="J203" s="370">
        <f t="shared" si="17"/>
        <v>100</v>
      </c>
    </row>
    <row r="204" spans="1:10" ht="25.5" customHeight="1">
      <c r="A204" s="206" t="s">
        <v>710</v>
      </c>
      <c r="B204" s="55" t="s">
        <v>1151</v>
      </c>
      <c r="C204" s="55" t="s">
        <v>419</v>
      </c>
      <c r="D204" s="55" t="s">
        <v>1046</v>
      </c>
      <c r="E204" s="55" t="s">
        <v>1486</v>
      </c>
      <c r="F204" s="60">
        <v>365</v>
      </c>
      <c r="G204" s="60">
        <v>365</v>
      </c>
      <c r="H204" s="60">
        <v>365</v>
      </c>
      <c r="I204" s="370">
        <f t="shared" si="16"/>
        <v>100</v>
      </c>
      <c r="J204" s="370">
        <f t="shared" si="17"/>
        <v>100</v>
      </c>
    </row>
    <row r="205" spans="1:10" ht="15.75">
      <c r="A205" s="71" t="s">
        <v>1186</v>
      </c>
      <c r="B205" s="55" t="s">
        <v>1151</v>
      </c>
      <c r="C205" s="55" t="s">
        <v>1291</v>
      </c>
      <c r="D205" s="55"/>
      <c r="E205" s="55"/>
      <c r="F205" s="153">
        <f>F206+F216</f>
        <v>200000</v>
      </c>
      <c r="G205" s="153">
        <f>G206+G216</f>
        <v>250094.00000000003</v>
      </c>
      <c r="H205" s="153">
        <f>H206+H216</f>
        <v>243119.69999999998</v>
      </c>
      <c r="I205" s="370">
        <f t="shared" si="16"/>
        <v>121.55984999999998</v>
      </c>
      <c r="J205" s="370">
        <f t="shared" si="17"/>
        <v>97.21132854046877</v>
      </c>
    </row>
    <row r="206" spans="1:10" ht="36">
      <c r="A206" s="56" t="s">
        <v>1036</v>
      </c>
      <c r="B206" s="55" t="s">
        <v>1151</v>
      </c>
      <c r="C206" s="55" t="s">
        <v>1291</v>
      </c>
      <c r="D206" s="55" t="s">
        <v>1037</v>
      </c>
      <c r="E206" s="55"/>
      <c r="F206" s="153">
        <f>F207+F213</f>
        <v>200000</v>
      </c>
      <c r="G206" s="153">
        <f>G207+G213</f>
        <v>247788.00000000003</v>
      </c>
      <c r="H206" s="153">
        <f>H207+H213</f>
        <v>243119.69999999998</v>
      </c>
      <c r="I206" s="370">
        <f t="shared" si="16"/>
        <v>121.55984999999998</v>
      </c>
      <c r="J206" s="370">
        <f t="shared" si="17"/>
        <v>98.11601046055497</v>
      </c>
    </row>
    <row r="207" spans="1:10" ht="48">
      <c r="A207" s="62" t="s">
        <v>1047</v>
      </c>
      <c r="B207" s="55" t="s">
        <v>1151</v>
      </c>
      <c r="C207" s="55" t="s">
        <v>1291</v>
      </c>
      <c r="D207" s="55" t="s">
        <v>1048</v>
      </c>
      <c r="E207" s="55" t="s">
        <v>920</v>
      </c>
      <c r="F207" s="153">
        <f>F208+F210</f>
        <v>179500</v>
      </c>
      <c r="G207" s="153">
        <f>G208+G210</f>
        <v>223607.10000000003</v>
      </c>
      <c r="H207" s="153">
        <f>H208+H210</f>
        <v>219027.9</v>
      </c>
      <c r="I207" s="370">
        <f t="shared" si="16"/>
        <v>122.02111420612813</v>
      </c>
      <c r="J207" s="370">
        <f t="shared" si="17"/>
        <v>97.95212227160943</v>
      </c>
    </row>
    <row r="208" spans="1:10" ht="24">
      <c r="A208" s="206" t="s">
        <v>68</v>
      </c>
      <c r="B208" s="55" t="s">
        <v>1151</v>
      </c>
      <c r="C208" s="55" t="s">
        <v>1291</v>
      </c>
      <c r="D208" s="55" t="s">
        <v>1049</v>
      </c>
      <c r="E208" s="55" t="s">
        <v>528</v>
      </c>
      <c r="F208" s="153">
        <f>F209</f>
        <v>69500</v>
      </c>
      <c r="G208" s="153">
        <f>G209</f>
        <v>113133.40000000002</v>
      </c>
      <c r="H208" s="153">
        <f>H209</f>
        <v>108554.2</v>
      </c>
      <c r="I208" s="370">
        <f t="shared" si="16"/>
        <v>156.19309352517985</v>
      </c>
      <c r="J208" s="370">
        <f t="shared" si="17"/>
        <v>95.95238894968239</v>
      </c>
    </row>
    <row r="209" spans="1:10" ht="24">
      <c r="A209" s="206" t="s">
        <v>710</v>
      </c>
      <c r="B209" s="55" t="s">
        <v>1151</v>
      </c>
      <c r="C209" s="55" t="s">
        <v>1291</v>
      </c>
      <c r="D209" s="55" t="s">
        <v>1049</v>
      </c>
      <c r="E209" s="55" t="s">
        <v>1486</v>
      </c>
      <c r="F209" s="60">
        <f>69500</f>
        <v>69500</v>
      </c>
      <c r="G209" s="60">
        <f>69500+7205.6+89.5+17420+20188.8+187.5-20188.8+0.1+128.4+959.8+3566.6+1426.3+9969.6-820+3500</f>
        <v>113133.40000000002</v>
      </c>
      <c r="H209" s="60">
        <v>108554.2</v>
      </c>
      <c r="I209" s="370">
        <f t="shared" si="16"/>
        <v>156.19309352517985</v>
      </c>
      <c r="J209" s="370">
        <f t="shared" si="17"/>
        <v>95.95238894968239</v>
      </c>
    </row>
    <row r="210" spans="1:10" ht="36">
      <c r="A210" s="62" t="s">
        <v>139</v>
      </c>
      <c r="B210" s="55" t="s">
        <v>1151</v>
      </c>
      <c r="C210" s="55" t="s">
        <v>1291</v>
      </c>
      <c r="D210" s="55" t="s">
        <v>1049</v>
      </c>
      <c r="E210" s="55" t="s">
        <v>1454</v>
      </c>
      <c r="F210" s="153">
        <f>F211</f>
        <v>110000</v>
      </c>
      <c r="G210" s="153">
        <f>G211</f>
        <v>110473.7</v>
      </c>
      <c r="H210" s="153">
        <f>H211</f>
        <v>110473.7</v>
      </c>
      <c r="I210" s="370">
        <f t="shared" si="16"/>
        <v>100.43063636363637</v>
      </c>
      <c r="J210" s="370">
        <f t="shared" si="17"/>
        <v>100</v>
      </c>
    </row>
    <row r="211" spans="1:10" ht="24">
      <c r="A211" s="57" t="s">
        <v>141</v>
      </c>
      <c r="B211" s="55" t="s">
        <v>1151</v>
      </c>
      <c r="C211" s="55" t="s">
        <v>1291</v>
      </c>
      <c r="D211" s="55" t="s">
        <v>1049</v>
      </c>
      <c r="E211" s="55" t="s">
        <v>554</v>
      </c>
      <c r="F211" s="60">
        <f>110000</f>
        <v>110000</v>
      </c>
      <c r="G211" s="60">
        <f>110000+378.3+343.4-248</f>
        <v>110473.7</v>
      </c>
      <c r="H211" s="60">
        <f>110000+378.3+343.4-248</f>
        <v>110473.7</v>
      </c>
      <c r="I211" s="370">
        <f t="shared" si="16"/>
        <v>100.43063636363637</v>
      </c>
      <c r="J211" s="370">
        <f t="shared" si="17"/>
        <v>100</v>
      </c>
    </row>
    <row r="212" spans="1:10" ht="36">
      <c r="A212" s="57" t="s">
        <v>1050</v>
      </c>
      <c r="B212" s="55" t="s">
        <v>1151</v>
      </c>
      <c r="C212" s="55" t="s">
        <v>1291</v>
      </c>
      <c r="D212" s="55" t="s">
        <v>1049</v>
      </c>
      <c r="E212" s="55" t="s">
        <v>554</v>
      </c>
      <c r="F212" s="156">
        <v>0</v>
      </c>
      <c r="G212" s="156">
        <v>378.3</v>
      </c>
      <c r="H212" s="156">
        <v>378.3</v>
      </c>
      <c r="I212" s="370"/>
      <c r="J212" s="370">
        <f t="shared" si="17"/>
        <v>100</v>
      </c>
    </row>
    <row r="213" spans="1:10" ht="50.25" customHeight="1">
      <c r="A213" s="64" t="s">
        <v>1051</v>
      </c>
      <c r="B213" s="55" t="s">
        <v>1151</v>
      </c>
      <c r="C213" s="55" t="s">
        <v>1291</v>
      </c>
      <c r="D213" s="55" t="s">
        <v>1052</v>
      </c>
      <c r="E213" s="55" t="s">
        <v>920</v>
      </c>
      <c r="F213" s="153">
        <f aca="true" t="shared" si="22" ref="F213:H214">F214</f>
        <v>20500</v>
      </c>
      <c r="G213" s="153">
        <f t="shared" si="22"/>
        <v>24180.9</v>
      </c>
      <c r="H213" s="153">
        <f t="shared" si="22"/>
        <v>24091.8</v>
      </c>
      <c r="I213" s="370">
        <f t="shared" si="16"/>
        <v>117.52097560975609</v>
      </c>
      <c r="J213" s="370">
        <f t="shared" si="17"/>
        <v>99.63152736250511</v>
      </c>
    </row>
    <row r="214" spans="1:10" ht="22.5" customHeight="1">
      <c r="A214" s="206" t="s">
        <v>68</v>
      </c>
      <c r="B214" s="55" t="s">
        <v>1151</v>
      </c>
      <c r="C214" s="55" t="s">
        <v>1291</v>
      </c>
      <c r="D214" s="55" t="s">
        <v>1053</v>
      </c>
      <c r="E214" s="55" t="s">
        <v>528</v>
      </c>
      <c r="F214" s="153">
        <f t="shared" si="22"/>
        <v>20500</v>
      </c>
      <c r="G214" s="153">
        <f t="shared" si="22"/>
        <v>24180.9</v>
      </c>
      <c r="H214" s="153">
        <f t="shared" si="22"/>
        <v>24091.8</v>
      </c>
      <c r="I214" s="370">
        <f t="shared" si="16"/>
        <v>117.52097560975609</v>
      </c>
      <c r="J214" s="370">
        <f t="shared" si="17"/>
        <v>99.63152736250511</v>
      </c>
    </row>
    <row r="215" spans="1:10" ht="24" customHeight="1">
      <c r="A215" s="206" t="s">
        <v>710</v>
      </c>
      <c r="B215" s="55" t="s">
        <v>1151</v>
      </c>
      <c r="C215" s="55" t="s">
        <v>1291</v>
      </c>
      <c r="D215" s="55" t="s">
        <v>1053</v>
      </c>
      <c r="E215" s="55" t="s">
        <v>1486</v>
      </c>
      <c r="F215" s="60">
        <v>20500</v>
      </c>
      <c r="G215" s="60">
        <f>22610.9+820+750</f>
        <v>24180.9</v>
      </c>
      <c r="H215" s="60">
        <v>24091.8</v>
      </c>
      <c r="I215" s="370">
        <f t="shared" si="16"/>
        <v>117.52097560975609</v>
      </c>
      <c r="J215" s="370">
        <f t="shared" si="17"/>
        <v>99.63152736250511</v>
      </c>
    </row>
    <row r="216" spans="1:10" ht="63.75" customHeight="1">
      <c r="A216" s="57" t="s">
        <v>1054</v>
      </c>
      <c r="B216" s="55" t="s">
        <v>1151</v>
      </c>
      <c r="C216" s="55" t="s">
        <v>1291</v>
      </c>
      <c r="D216" s="55" t="s">
        <v>1055</v>
      </c>
      <c r="E216" s="55" t="s">
        <v>920</v>
      </c>
      <c r="F216" s="153">
        <f aca="true" t="shared" si="23" ref="F216:H217">F217</f>
        <v>0</v>
      </c>
      <c r="G216" s="153">
        <f t="shared" si="23"/>
        <v>2306</v>
      </c>
      <c r="H216" s="153">
        <f t="shared" si="23"/>
        <v>0</v>
      </c>
      <c r="I216" s="370"/>
      <c r="J216" s="370">
        <f t="shared" si="17"/>
        <v>0</v>
      </c>
    </row>
    <row r="217" spans="1:10" ht="36.75" customHeight="1">
      <c r="A217" s="206" t="s">
        <v>68</v>
      </c>
      <c r="B217" s="55" t="s">
        <v>1151</v>
      </c>
      <c r="C217" s="55" t="s">
        <v>1291</v>
      </c>
      <c r="D217" s="55" t="s">
        <v>1055</v>
      </c>
      <c r="E217" s="55" t="s">
        <v>528</v>
      </c>
      <c r="F217" s="153">
        <f t="shared" si="23"/>
        <v>0</v>
      </c>
      <c r="G217" s="153">
        <f t="shared" si="23"/>
        <v>2306</v>
      </c>
      <c r="H217" s="153">
        <f t="shared" si="23"/>
        <v>0</v>
      </c>
      <c r="I217" s="370"/>
      <c r="J217" s="370">
        <f t="shared" si="17"/>
        <v>0</v>
      </c>
    </row>
    <row r="218" spans="1:10" ht="24">
      <c r="A218" s="206" t="s">
        <v>710</v>
      </c>
      <c r="B218" s="55" t="s">
        <v>1151</v>
      </c>
      <c r="C218" s="55" t="s">
        <v>1291</v>
      </c>
      <c r="D218" s="55" t="s">
        <v>1055</v>
      </c>
      <c r="E218" s="55" t="s">
        <v>1486</v>
      </c>
      <c r="F218" s="60">
        <v>0</v>
      </c>
      <c r="G218" s="60">
        <f>322+500+1484</f>
        <v>2306</v>
      </c>
      <c r="H218" s="60">
        <v>0</v>
      </c>
      <c r="I218" s="370"/>
      <c r="J218" s="370">
        <f t="shared" si="17"/>
        <v>0</v>
      </c>
    </row>
    <row r="219" spans="1:10" ht="15.75">
      <c r="A219" s="61" t="s">
        <v>1187</v>
      </c>
      <c r="B219" s="55" t="s">
        <v>1151</v>
      </c>
      <c r="C219" s="55" t="s">
        <v>519</v>
      </c>
      <c r="D219" s="55"/>
      <c r="E219" s="55"/>
      <c r="F219" s="153">
        <f>F220+F230</f>
        <v>14350</v>
      </c>
      <c r="G219" s="153">
        <f>G220+G230</f>
        <v>21779.6</v>
      </c>
      <c r="H219" s="153">
        <f>H220+H230</f>
        <v>21062</v>
      </c>
      <c r="I219" s="370">
        <f t="shared" si="16"/>
        <v>146.77351916376307</v>
      </c>
      <c r="J219" s="370">
        <f t="shared" si="17"/>
        <v>96.70517364873552</v>
      </c>
    </row>
    <row r="220" spans="1:10" ht="24">
      <c r="A220" s="63" t="s">
        <v>66</v>
      </c>
      <c r="B220" s="55" t="s">
        <v>1151</v>
      </c>
      <c r="C220" s="55" t="s">
        <v>519</v>
      </c>
      <c r="D220" s="55" t="s">
        <v>718</v>
      </c>
      <c r="E220" s="55"/>
      <c r="F220" s="153">
        <f>F221+F226</f>
        <v>2208</v>
      </c>
      <c r="G220" s="153">
        <f>G221+G226</f>
        <v>9637.6</v>
      </c>
      <c r="H220" s="153">
        <f>H221+H226</f>
        <v>8920</v>
      </c>
      <c r="I220" s="370">
        <f t="shared" si="16"/>
        <v>403.98550724637687</v>
      </c>
      <c r="J220" s="370">
        <f t="shared" si="17"/>
        <v>92.55416286212335</v>
      </c>
    </row>
    <row r="221" spans="1:10" ht="48">
      <c r="A221" s="62" t="s">
        <v>1056</v>
      </c>
      <c r="B221" s="55" t="s">
        <v>1151</v>
      </c>
      <c r="C221" s="55" t="s">
        <v>519</v>
      </c>
      <c r="D221" s="55" t="s">
        <v>1057</v>
      </c>
      <c r="E221" s="55"/>
      <c r="F221" s="153">
        <f aca="true" t="shared" si="24" ref="F221:H222">F222</f>
        <v>2208</v>
      </c>
      <c r="G221" s="153">
        <f t="shared" si="24"/>
        <v>4961.6</v>
      </c>
      <c r="H221" s="153">
        <f t="shared" si="24"/>
        <v>4798.7</v>
      </c>
      <c r="I221" s="370">
        <f t="shared" si="16"/>
        <v>217.33242753623188</v>
      </c>
      <c r="J221" s="370">
        <f t="shared" si="17"/>
        <v>96.71678490809416</v>
      </c>
    </row>
    <row r="222" spans="1:10" ht="36">
      <c r="A222" s="62" t="s">
        <v>139</v>
      </c>
      <c r="B222" s="55" t="s">
        <v>1151</v>
      </c>
      <c r="C222" s="55" t="s">
        <v>519</v>
      </c>
      <c r="D222" s="55" t="s">
        <v>1058</v>
      </c>
      <c r="E222" s="55" t="s">
        <v>1454</v>
      </c>
      <c r="F222" s="153">
        <f t="shared" si="24"/>
        <v>2208</v>
      </c>
      <c r="G222" s="153">
        <f t="shared" si="24"/>
        <v>4961.6</v>
      </c>
      <c r="H222" s="153">
        <f t="shared" si="24"/>
        <v>4798.7</v>
      </c>
      <c r="I222" s="370">
        <f t="shared" si="16"/>
        <v>217.33242753623188</v>
      </c>
      <c r="J222" s="370">
        <f t="shared" si="17"/>
        <v>96.71678490809416</v>
      </c>
    </row>
    <row r="223" spans="1:10" ht="24">
      <c r="A223" s="57" t="s">
        <v>1059</v>
      </c>
      <c r="B223" s="55" t="s">
        <v>1151</v>
      </c>
      <c r="C223" s="55" t="s">
        <v>519</v>
      </c>
      <c r="D223" s="55" t="s">
        <v>1058</v>
      </c>
      <c r="E223" s="55" t="s">
        <v>554</v>
      </c>
      <c r="F223" s="60">
        <f>2208</f>
        <v>2208</v>
      </c>
      <c r="G223" s="60">
        <f>2208+1254.9+G225</f>
        <v>4961.6</v>
      </c>
      <c r="H223" s="60">
        <v>4798.7</v>
      </c>
      <c r="I223" s="370">
        <f t="shared" si="16"/>
        <v>217.33242753623188</v>
      </c>
      <c r="J223" s="370">
        <f t="shared" si="17"/>
        <v>96.71678490809416</v>
      </c>
    </row>
    <row r="224" spans="1:10" ht="60">
      <c r="A224" s="57" t="s">
        <v>1060</v>
      </c>
      <c r="B224" s="55" t="s">
        <v>1151</v>
      </c>
      <c r="C224" s="55" t="s">
        <v>519</v>
      </c>
      <c r="D224" s="55" t="s">
        <v>1058</v>
      </c>
      <c r="E224" s="55" t="s">
        <v>554</v>
      </c>
      <c r="F224" s="60">
        <v>0</v>
      </c>
      <c r="G224" s="60">
        <v>1254.9</v>
      </c>
      <c r="H224" s="60">
        <v>1217.4</v>
      </c>
      <c r="I224" s="370"/>
      <c r="J224" s="370">
        <f t="shared" si="17"/>
        <v>97.01171408080324</v>
      </c>
    </row>
    <row r="225" spans="1:10" ht="36">
      <c r="A225" s="57" t="s">
        <v>1061</v>
      </c>
      <c r="B225" s="55" t="s">
        <v>1151</v>
      </c>
      <c r="C225" s="55" t="s">
        <v>519</v>
      </c>
      <c r="D225" s="55" t="s">
        <v>1058</v>
      </c>
      <c r="E225" s="55" t="s">
        <v>554</v>
      </c>
      <c r="F225" s="60">
        <v>0</v>
      </c>
      <c r="G225" s="60">
        <v>1498.7</v>
      </c>
      <c r="H225" s="60">
        <v>1373.3</v>
      </c>
      <c r="I225" s="370"/>
      <c r="J225" s="370">
        <f t="shared" si="17"/>
        <v>91.63274838193101</v>
      </c>
    </row>
    <row r="226" spans="1:10" ht="48">
      <c r="A226" s="207" t="s">
        <v>137</v>
      </c>
      <c r="B226" s="55" t="s">
        <v>1151</v>
      </c>
      <c r="C226" s="55" t="s">
        <v>519</v>
      </c>
      <c r="D226" s="55" t="s">
        <v>138</v>
      </c>
      <c r="E226" s="55"/>
      <c r="F226" s="153">
        <f aca="true" t="shared" si="25" ref="F226:H228">F227</f>
        <v>0</v>
      </c>
      <c r="G226" s="153">
        <f t="shared" si="25"/>
        <v>4676</v>
      </c>
      <c r="H226" s="153">
        <f t="shared" si="25"/>
        <v>4121.3</v>
      </c>
      <c r="I226" s="370"/>
      <c r="J226" s="370">
        <f t="shared" si="17"/>
        <v>88.13729683490162</v>
      </c>
    </row>
    <row r="227" spans="1:10" ht="48">
      <c r="A227" s="57" t="s">
        <v>1062</v>
      </c>
      <c r="B227" s="55" t="s">
        <v>1151</v>
      </c>
      <c r="C227" s="55" t="s">
        <v>519</v>
      </c>
      <c r="D227" s="55" t="s">
        <v>1063</v>
      </c>
      <c r="E227" s="55"/>
      <c r="F227" s="153">
        <f t="shared" si="25"/>
        <v>0</v>
      </c>
      <c r="G227" s="153">
        <f t="shared" si="25"/>
        <v>4676</v>
      </c>
      <c r="H227" s="153">
        <f t="shared" si="25"/>
        <v>4121.3</v>
      </c>
      <c r="I227" s="370"/>
      <c r="J227" s="370">
        <f t="shared" si="17"/>
        <v>88.13729683490162</v>
      </c>
    </row>
    <row r="228" spans="1:10" ht="24">
      <c r="A228" s="206" t="s">
        <v>68</v>
      </c>
      <c r="B228" s="55" t="s">
        <v>1151</v>
      </c>
      <c r="C228" s="55" t="s">
        <v>519</v>
      </c>
      <c r="D228" s="55" t="s">
        <v>1063</v>
      </c>
      <c r="E228" s="55" t="s">
        <v>528</v>
      </c>
      <c r="F228" s="153">
        <f t="shared" si="25"/>
        <v>0</v>
      </c>
      <c r="G228" s="153">
        <f t="shared" si="25"/>
        <v>4676</v>
      </c>
      <c r="H228" s="153">
        <f t="shared" si="25"/>
        <v>4121.3</v>
      </c>
      <c r="I228" s="370"/>
      <c r="J228" s="370">
        <f t="shared" si="17"/>
        <v>88.13729683490162</v>
      </c>
    </row>
    <row r="229" spans="1:10" ht="24">
      <c r="A229" s="206" t="s">
        <v>710</v>
      </c>
      <c r="B229" s="55" t="s">
        <v>1151</v>
      </c>
      <c r="C229" s="55" t="s">
        <v>519</v>
      </c>
      <c r="D229" s="55" t="s">
        <v>1063</v>
      </c>
      <c r="E229" s="55" t="s">
        <v>1486</v>
      </c>
      <c r="F229" s="60">
        <v>0</v>
      </c>
      <c r="G229" s="60">
        <v>4676</v>
      </c>
      <c r="H229" s="60">
        <v>4121.3</v>
      </c>
      <c r="I229" s="370"/>
      <c r="J229" s="370">
        <f t="shared" si="17"/>
        <v>88.13729683490162</v>
      </c>
    </row>
    <row r="230" spans="1:10" ht="36">
      <c r="A230" s="56" t="s">
        <v>1064</v>
      </c>
      <c r="B230" s="55" t="s">
        <v>1151</v>
      </c>
      <c r="C230" s="55" t="s">
        <v>519</v>
      </c>
      <c r="D230" s="55" t="s">
        <v>1065</v>
      </c>
      <c r="E230" s="55"/>
      <c r="F230" s="153">
        <f aca="true" t="shared" si="26" ref="F230:H232">F231</f>
        <v>12142</v>
      </c>
      <c r="G230" s="153">
        <f t="shared" si="26"/>
        <v>12142</v>
      </c>
      <c r="H230" s="153">
        <f t="shared" si="26"/>
        <v>12142</v>
      </c>
      <c r="I230" s="370">
        <f t="shared" si="16"/>
        <v>100</v>
      </c>
      <c r="J230" s="370">
        <f t="shared" si="17"/>
        <v>100</v>
      </c>
    </row>
    <row r="231" spans="1:10" ht="36">
      <c r="A231" s="57" t="s">
        <v>1066</v>
      </c>
      <c r="B231" s="55" t="s">
        <v>1151</v>
      </c>
      <c r="C231" s="55" t="s">
        <v>519</v>
      </c>
      <c r="D231" s="55" t="s">
        <v>1067</v>
      </c>
      <c r="E231" s="55"/>
      <c r="F231" s="153">
        <f t="shared" si="26"/>
        <v>12142</v>
      </c>
      <c r="G231" s="153">
        <f t="shared" si="26"/>
        <v>12142</v>
      </c>
      <c r="H231" s="153">
        <f t="shared" si="26"/>
        <v>12142</v>
      </c>
      <c r="I231" s="370">
        <f t="shared" si="16"/>
        <v>100</v>
      </c>
      <c r="J231" s="370">
        <f t="shared" si="17"/>
        <v>100</v>
      </c>
    </row>
    <row r="232" spans="1:10" ht="36">
      <c r="A232" s="62" t="s">
        <v>139</v>
      </c>
      <c r="B232" s="55" t="s">
        <v>1151</v>
      </c>
      <c r="C232" s="55" t="s">
        <v>519</v>
      </c>
      <c r="D232" s="55" t="s">
        <v>1068</v>
      </c>
      <c r="E232" s="55" t="s">
        <v>1454</v>
      </c>
      <c r="F232" s="153">
        <f t="shared" si="26"/>
        <v>12142</v>
      </c>
      <c r="G232" s="153">
        <f t="shared" si="26"/>
        <v>12142</v>
      </c>
      <c r="H232" s="153">
        <f t="shared" si="26"/>
        <v>12142</v>
      </c>
      <c r="I232" s="370">
        <f t="shared" si="16"/>
        <v>100</v>
      </c>
      <c r="J232" s="370">
        <f t="shared" si="17"/>
        <v>100</v>
      </c>
    </row>
    <row r="233" spans="1:10" ht="24">
      <c r="A233" s="57" t="s">
        <v>553</v>
      </c>
      <c r="B233" s="55" t="s">
        <v>1151</v>
      </c>
      <c r="C233" s="55" t="s">
        <v>519</v>
      </c>
      <c r="D233" s="55" t="s">
        <v>1068</v>
      </c>
      <c r="E233" s="55" t="s">
        <v>554</v>
      </c>
      <c r="F233" s="60">
        <v>12142</v>
      </c>
      <c r="G233" s="60">
        <v>12142</v>
      </c>
      <c r="H233" s="60">
        <v>12142</v>
      </c>
      <c r="I233" s="370">
        <f t="shared" si="16"/>
        <v>100</v>
      </c>
      <c r="J233" s="370">
        <f t="shared" si="17"/>
        <v>100</v>
      </c>
    </row>
    <row r="234" spans="1:10" ht="24">
      <c r="A234" s="61" t="s">
        <v>1175</v>
      </c>
      <c r="B234" s="55" t="s">
        <v>1151</v>
      </c>
      <c r="C234" s="55" t="s">
        <v>1176</v>
      </c>
      <c r="D234" s="55"/>
      <c r="E234" s="74"/>
      <c r="F234" s="153">
        <f>F235+F240+F245+F250</f>
        <v>3170.6</v>
      </c>
      <c r="G234" s="153">
        <f>G235+G240+G245</f>
        <v>8287.5</v>
      </c>
      <c r="H234" s="153">
        <f>H235+H240+H245</f>
        <v>8151.1</v>
      </c>
      <c r="I234" s="370">
        <f t="shared" si="16"/>
        <v>257.08383271305115</v>
      </c>
      <c r="J234" s="370">
        <f t="shared" si="17"/>
        <v>98.35414781297135</v>
      </c>
    </row>
    <row r="235" spans="1:10" ht="24">
      <c r="A235" s="63" t="s">
        <v>66</v>
      </c>
      <c r="B235" s="55" t="s">
        <v>1151</v>
      </c>
      <c r="C235" s="55" t="s">
        <v>1176</v>
      </c>
      <c r="D235" s="55" t="s">
        <v>718</v>
      </c>
      <c r="E235" s="55"/>
      <c r="F235" s="153">
        <f aca="true" t="shared" si="27" ref="F235:H238">F236</f>
        <v>1450</v>
      </c>
      <c r="G235" s="153">
        <f t="shared" si="27"/>
        <v>1340.3000000000002</v>
      </c>
      <c r="H235" s="153">
        <f t="shared" si="27"/>
        <v>1302.6</v>
      </c>
      <c r="I235" s="370">
        <f t="shared" si="16"/>
        <v>89.83448275862068</v>
      </c>
      <c r="J235" s="370">
        <f t="shared" si="17"/>
        <v>97.18719689621724</v>
      </c>
    </row>
    <row r="236" spans="1:10" ht="96">
      <c r="A236" s="57" t="s">
        <v>152</v>
      </c>
      <c r="B236" s="55" t="s">
        <v>1151</v>
      </c>
      <c r="C236" s="55" t="s">
        <v>1176</v>
      </c>
      <c r="D236" s="55" t="s">
        <v>153</v>
      </c>
      <c r="E236" s="55"/>
      <c r="F236" s="153">
        <f t="shared" si="27"/>
        <v>1450</v>
      </c>
      <c r="G236" s="153">
        <f t="shared" si="27"/>
        <v>1340.3000000000002</v>
      </c>
      <c r="H236" s="153">
        <f t="shared" si="27"/>
        <v>1302.6</v>
      </c>
      <c r="I236" s="370">
        <f t="shared" si="16"/>
        <v>89.83448275862068</v>
      </c>
      <c r="J236" s="370">
        <f t="shared" si="17"/>
        <v>97.18719689621724</v>
      </c>
    </row>
    <row r="237" spans="1:10" ht="24">
      <c r="A237" s="64" t="s">
        <v>1456</v>
      </c>
      <c r="B237" s="55" t="s">
        <v>1151</v>
      </c>
      <c r="C237" s="55" t="s">
        <v>1176</v>
      </c>
      <c r="D237" s="55" t="s">
        <v>1069</v>
      </c>
      <c r="E237" s="74" t="s">
        <v>920</v>
      </c>
      <c r="F237" s="153">
        <f t="shared" si="27"/>
        <v>1450</v>
      </c>
      <c r="G237" s="153">
        <f t="shared" si="27"/>
        <v>1340.3000000000002</v>
      </c>
      <c r="H237" s="153">
        <f t="shared" si="27"/>
        <v>1302.6</v>
      </c>
      <c r="I237" s="370">
        <f t="shared" si="16"/>
        <v>89.83448275862068</v>
      </c>
      <c r="J237" s="370">
        <f t="shared" si="17"/>
        <v>97.18719689621724</v>
      </c>
    </row>
    <row r="238" spans="1:10" ht="24">
      <c r="A238" s="206" t="s">
        <v>68</v>
      </c>
      <c r="B238" s="55" t="s">
        <v>1151</v>
      </c>
      <c r="C238" s="55" t="s">
        <v>1176</v>
      </c>
      <c r="D238" s="55" t="s">
        <v>1069</v>
      </c>
      <c r="E238" s="74" t="s">
        <v>528</v>
      </c>
      <c r="F238" s="153">
        <f t="shared" si="27"/>
        <v>1450</v>
      </c>
      <c r="G238" s="153">
        <f t="shared" si="27"/>
        <v>1340.3000000000002</v>
      </c>
      <c r="H238" s="153">
        <f t="shared" si="27"/>
        <v>1302.6</v>
      </c>
      <c r="I238" s="370">
        <f t="shared" si="16"/>
        <v>89.83448275862068</v>
      </c>
      <c r="J238" s="370">
        <f t="shared" si="17"/>
        <v>97.18719689621724</v>
      </c>
    </row>
    <row r="239" spans="1:10" ht="24">
      <c r="A239" s="206" t="s">
        <v>710</v>
      </c>
      <c r="B239" s="55" t="s">
        <v>1151</v>
      </c>
      <c r="C239" s="55" t="s">
        <v>1176</v>
      </c>
      <c r="D239" s="55" t="s">
        <v>1069</v>
      </c>
      <c r="E239" s="74" t="s">
        <v>1486</v>
      </c>
      <c r="F239" s="60">
        <v>1450</v>
      </c>
      <c r="G239" s="60">
        <f>1425-70-2.1-12.6</f>
        <v>1340.3000000000002</v>
      </c>
      <c r="H239" s="60">
        <v>1302.6</v>
      </c>
      <c r="I239" s="370">
        <f t="shared" si="16"/>
        <v>89.83448275862068</v>
      </c>
      <c r="J239" s="370">
        <f t="shared" si="17"/>
        <v>97.18719689621724</v>
      </c>
    </row>
    <row r="240" spans="1:10" ht="24">
      <c r="A240" s="377" t="s">
        <v>351</v>
      </c>
      <c r="B240" s="55" t="s">
        <v>1151</v>
      </c>
      <c r="C240" s="55" t="s">
        <v>1176</v>
      </c>
      <c r="D240" s="55" t="s">
        <v>1032</v>
      </c>
      <c r="E240" s="74"/>
      <c r="F240" s="153">
        <f aca="true" t="shared" si="28" ref="F240:H243">F241</f>
        <v>720.6</v>
      </c>
      <c r="G240" s="153">
        <f t="shared" si="28"/>
        <v>647.2</v>
      </c>
      <c r="H240" s="153">
        <f t="shared" si="28"/>
        <v>645</v>
      </c>
      <c r="I240" s="370">
        <f t="shared" si="16"/>
        <v>89.50874271440466</v>
      </c>
      <c r="J240" s="370">
        <f t="shared" si="17"/>
        <v>99.66007416563659</v>
      </c>
    </row>
    <row r="241" spans="1:10" ht="36">
      <c r="A241" s="206" t="s">
        <v>1033</v>
      </c>
      <c r="B241" s="55" t="s">
        <v>1151</v>
      </c>
      <c r="C241" s="55" t="s">
        <v>1176</v>
      </c>
      <c r="D241" s="55" t="s">
        <v>1034</v>
      </c>
      <c r="E241" s="74"/>
      <c r="F241" s="153">
        <f t="shared" si="28"/>
        <v>720.6</v>
      </c>
      <c r="G241" s="153">
        <f t="shared" si="28"/>
        <v>647.2</v>
      </c>
      <c r="H241" s="153">
        <f t="shared" si="28"/>
        <v>645</v>
      </c>
      <c r="I241" s="370">
        <f t="shared" si="16"/>
        <v>89.50874271440466</v>
      </c>
      <c r="J241" s="370">
        <f t="shared" si="17"/>
        <v>99.66007416563659</v>
      </c>
    </row>
    <row r="242" spans="1:10" ht="81" customHeight="1">
      <c r="A242" s="62" t="s">
        <v>352</v>
      </c>
      <c r="B242" s="55" t="s">
        <v>1151</v>
      </c>
      <c r="C242" s="55" t="s">
        <v>1176</v>
      </c>
      <c r="D242" s="55" t="s">
        <v>353</v>
      </c>
      <c r="E242" s="74" t="s">
        <v>920</v>
      </c>
      <c r="F242" s="153">
        <f t="shared" si="28"/>
        <v>720.6</v>
      </c>
      <c r="G242" s="153">
        <f t="shared" si="28"/>
        <v>647.2</v>
      </c>
      <c r="H242" s="153">
        <f t="shared" si="28"/>
        <v>645</v>
      </c>
      <c r="I242" s="370">
        <f t="shared" si="16"/>
        <v>89.50874271440466</v>
      </c>
      <c r="J242" s="370">
        <f t="shared" si="17"/>
        <v>99.66007416563659</v>
      </c>
    </row>
    <row r="243" spans="1:10" ht="39" customHeight="1">
      <c r="A243" s="62" t="s">
        <v>139</v>
      </c>
      <c r="B243" s="55" t="s">
        <v>1151</v>
      </c>
      <c r="C243" s="55" t="s">
        <v>1176</v>
      </c>
      <c r="D243" s="55" t="s">
        <v>353</v>
      </c>
      <c r="E243" s="74" t="s">
        <v>1454</v>
      </c>
      <c r="F243" s="153">
        <f t="shared" si="28"/>
        <v>720.6</v>
      </c>
      <c r="G243" s="153">
        <f t="shared" si="28"/>
        <v>647.2</v>
      </c>
      <c r="H243" s="153">
        <f t="shared" si="28"/>
        <v>645</v>
      </c>
      <c r="I243" s="370">
        <f t="shared" si="16"/>
        <v>89.50874271440466</v>
      </c>
      <c r="J243" s="370">
        <f t="shared" si="17"/>
        <v>99.66007416563659</v>
      </c>
    </row>
    <row r="244" spans="1:10" ht="24">
      <c r="A244" s="57" t="s">
        <v>553</v>
      </c>
      <c r="B244" s="55" t="s">
        <v>1151</v>
      </c>
      <c r="C244" s="55" t="s">
        <v>1176</v>
      </c>
      <c r="D244" s="55" t="s">
        <v>353</v>
      </c>
      <c r="E244" s="55" t="s">
        <v>554</v>
      </c>
      <c r="F244" s="60">
        <f>720.6</f>
        <v>720.6</v>
      </c>
      <c r="G244" s="60">
        <f>720.6-73.4</f>
        <v>647.2</v>
      </c>
      <c r="H244" s="60">
        <v>645</v>
      </c>
      <c r="I244" s="370">
        <f t="shared" si="16"/>
        <v>89.50874271440466</v>
      </c>
      <c r="J244" s="370">
        <f t="shared" si="17"/>
        <v>99.66007416563659</v>
      </c>
    </row>
    <row r="245" spans="1:10" ht="36">
      <c r="A245" s="56" t="s">
        <v>650</v>
      </c>
      <c r="B245" s="55" t="s">
        <v>1151</v>
      </c>
      <c r="C245" s="55" t="s">
        <v>1176</v>
      </c>
      <c r="D245" s="55" t="s">
        <v>651</v>
      </c>
      <c r="E245" s="55"/>
      <c r="F245" s="153">
        <f aca="true" t="shared" si="29" ref="F245:H246">F246</f>
        <v>1000</v>
      </c>
      <c r="G245" s="153">
        <f t="shared" si="29"/>
        <v>6300</v>
      </c>
      <c r="H245" s="153">
        <f t="shared" si="29"/>
        <v>6203.5</v>
      </c>
      <c r="I245" s="370">
        <f aca="true" t="shared" si="30" ref="I245:I296">H245/F245*100</f>
        <v>620.35</v>
      </c>
      <c r="J245" s="370">
        <f aca="true" t="shared" si="31" ref="J245:J302">H245/G245*100</f>
        <v>98.46825396825398</v>
      </c>
    </row>
    <row r="246" spans="1:10" ht="36">
      <c r="A246" s="62" t="s">
        <v>354</v>
      </c>
      <c r="B246" s="55" t="s">
        <v>1151</v>
      </c>
      <c r="C246" s="55" t="s">
        <v>1176</v>
      </c>
      <c r="D246" s="55" t="s">
        <v>355</v>
      </c>
      <c r="E246" s="55" t="s">
        <v>920</v>
      </c>
      <c r="F246" s="153">
        <f t="shared" si="29"/>
        <v>1000</v>
      </c>
      <c r="G246" s="153">
        <f t="shared" si="29"/>
        <v>6300</v>
      </c>
      <c r="H246" s="153">
        <f t="shared" si="29"/>
        <v>6203.5</v>
      </c>
      <c r="I246" s="370">
        <f t="shared" si="30"/>
        <v>620.35</v>
      </c>
      <c r="J246" s="370">
        <f t="shared" si="31"/>
        <v>98.46825396825398</v>
      </c>
    </row>
    <row r="247" spans="1:10" ht="24">
      <c r="A247" s="206" t="s">
        <v>793</v>
      </c>
      <c r="B247" s="55" t="s">
        <v>1151</v>
      </c>
      <c r="C247" s="55" t="s">
        <v>1176</v>
      </c>
      <c r="D247" s="55" t="s">
        <v>355</v>
      </c>
      <c r="E247" s="55" t="s">
        <v>794</v>
      </c>
      <c r="F247" s="153">
        <f>F248+F249+F252</f>
        <v>1000</v>
      </c>
      <c r="G247" s="153">
        <f>G248+G249+G252+G250</f>
        <v>6300</v>
      </c>
      <c r="H247" s="153">
        <f>H248+H249+H252+H250</f>
        <v>6203.5</v>
      </c>
      <c r="I247" s="370">
        <f t="shared" si="30"/>
        <v>620.35</v>
      </c>
      <c r="J247" s="370">
        <f t="shared" si="31"/>
        <v>98.46825396825398</v>
      </c>
    </row>
    <row r="248" spans="1:10" ht="60">
      <c r="A248" s="57" t="s">
        <v>356</v>
      </c>
      <c r="B248" s="55" t="s">
        <v>1151</v>
      </c>
      <c r="C248" s="55" t="s">
        <v>1176</v>
      </c>
      <c r="D248" s="55" t="s">
        <v>357</v>
      </c>
      <c r="E248" s="55" t="s">
        <v>809</v>
      </c>
      <c r="F248" s="60">
        <v>1000</v>
      </c>
      <c r="G248" s="60">
        <v>500</v>
      </c>
      <c r="H248" s="60">
        <v>500</v>
      </c>
      <c r="I248" s="370">
        <f t="shared" si="30"/>
        <v>50</v>
      </c>
      <c r="J248" s="370">
        <f t="shared" si="31"/>
        <v>100</v>
      </c>
    </row>
    <row r="249" spans="1:10" ht="60">
      <c r="A249" s="57" t="s">
        <v>358</v>
      </c>
      <c r="B249" s="55" t="s">
        <v>1151</v>
      </c>
      <c r="C249" s="55" t="s">
        <v>1176</v>
      </c>
      <c r="D249" s="55" t="s">
        <v>359</v>
      </c>
      <c r="E249" s="55" t="s">
        <v>809</v>
      </c>
      <c r="F249" s="60">
        <v>0</v>
      </c>
      <c r="G249" s="60">
        <f>500+300</f>
        <v>800</v>
      </c>
      <c r="H249" s="60">
        <v>703.5</v>
      </c>
      <c r="I249" s="370"/>
      <c r="J249" s="370">
        <f t="shared" si="31"/>
        <v>87.9375</v>
      </c>
    </row>
    <row r="250" spans="1:10" ht="24">
      <c r="A250" s="206" t="s">
        <v>793</v>
      </c>
      <c r="B250" s="55" t="s">
        <v>1151</v>
      </c>
      <c r="C250" s="55" t="s">
        <v>1176</v>
      </c>
      <c r="D250" s="55" t="s">
        <v>562</v>
      </c>
      <c r="E250" s="55" t="s">
        <v>794</v>
      </c>
      <c r="F250" s="153">
        <f>F251</f>
        <v>0</v>
      </c>
      <c r="G250" s="153">
        <f>G251</f>
        <v>3500</v>
      </c>
      <c r="H250" s="153">
        <f>H251</f>
        <v>3500</v>
      </c>
      <c r="I250" s="370"/>
      <c r="J250" s="370">
        <f t="shared" si="31"/>
        <v>100</v>
      </c>
    </row>
    <row r="251" spans="1:10" ht="132">
      <c r="A251" s="375" t="s">
        <v>361</v>
      </c>
      <c r="B251" s="55" t="s">
        <v>1151</v>
      </c>
      <c r="C251" s="55" t="s">
        <v>1176</v>
      </c>
      <c r="D251" s="55" t="s">
        <v>562</v>
      </c>
      <c r="E251" s="55" t="s">
        <v>809</v>
      </c>
      <c r="F251" s="60">
        <v>0</v>
      </c>
      <c r="G251" s="60">
        <v>3500</v>
      </c>
      <c r="H251" s="60">
        <v>3500</v>
      </c>
      <c r="I251" s="370"/>
      <c r="J251" s="370">
        <f t="shared" si="31"/>
        <v>100</v>
      </c>
    </row>
    <row r="252" spans="1:10" ht="24">
      <c r="A252" s="206" t="s">
        <v>793</v>
      </c>
      <c r="B252" s="55" t="s">
        <v>1151</v>
      </c>
      <c r="C252" s="55" t="s">
        <v>1176</v>
      </c>
      <c r="D252" s="55" t="s">
        <v>360</v>
      </c>
      <c r="E252" s="55" t="s">
        <v>794</v>
      </c>
      <c r="F252" s="153">
        <f>F253</f>
        <v>0</v>
      </c>
      <c r="G252" s="153">
        <f>G253</f>
        <v>1500</v>
      </c>
      <c r="H252" s="153">
        <f>H253</f>
        <v>1500</v>
      </c>
      <c r="I252" s="370"/>
      <c r="J252" s="370">
        <f t="shared" si="31"/>
        <v>100</v>
      </c>
    </row>
    <row r="253" spans="1:10" ht="138" customHeight="1">
      <c r="A253" s="375" t="s">
        <v>361</v>
      </c>
      <c r="B253" s="55" t="s">
        <v>1151</v>
      </c>
      <c r="C253" s="55" t="s">
        <v>1176</v>
      </c>
      <c r="D253" s="55" t="s">
        <v>360</v>
      </c>
      <c r="E253" s="55" t="s">
        <v>809</v>
      </c>
      <c r="F253" s="60">
        <v>0</v>
      </c>
      <c r="G253" s="60">
        <v>1500</v>
      </c>
      <c r="H253" s="60">
        <v>1500</v>
      </c>
      <c r="I253" s="370"/>
      <c r="J253" s="370">
        <f t="shared" si="31"/>
        <v>100</v>
      </c>
    </row>
    <row r="254" spans="1:10" ht="25.5">
      <c r="A254" s="124" t="s">
        <v>1447</v>
      </c>
      <c r="B254" s="125" t="s">
        <v>792</v>
      </c>
      <c r="C254" s="125"/>
      <c r="D254" s="74"/>
      <c r="E254" s="74"/>
      <c r="F254" s="155">
        <f>F255+F268+F287</f>
        <v>242126</v>
      </c>
      <c r="G254" s="155">
        <f>G255+G268+G287</f>
        <v>557082</v>
      </c>
      <c r="H254" s="155">
        <f>H255+H268+H287</f>
        <v>437453.5</v>
      </c>
      <c r="I254" s="370">
        <f t="shared" si="30"/>
        <v>180.67184028150632</v>
      </c>
      <c r="J254" s="370">
        <f t="shared" si="31"/>
        <v>78.52587231323216</v>
      </c>
    </row>
    <row r="255" spans="1:10" ht="15.75">
      <c r="A255" s="61" t="s">
        <v>1083</v>
      </c>
      <c r="B255" s="74" t="s">
        <v>792</v>
      </c>
      <c r="C255" s="74" t="s">
        <v>1105</v>
      </c>
      <c r="D255" s="74"/>
      <c r="E255" s="74"/>
      <c r="F255" s="153">
        <f>F256+F264</f>
        <v>56430</v>
      </c>
      <c r="G255" s="153">
        <f>G256+G264</f>
        <v>92096.1</v>
      </c>
      <c r="H255" s="153">
        <f>H256+H264</f>
        <v>89664.5</v>
      </c>
      <c r="I255" s="370">
        <f t="shared" si="30"/>
        <v>158.8950912635123</v>
      </c>
      <c r="J255" s="370">
        <f t="shared" si="31"/>
        <v>97.35971447216548</v>
      </c>
    </row>
    <row r="256" spans="1:10" ht="24">
      <c r="A256" s="56" t="s">
        <v>351</v>
      </c>
      <c r="B256" s="74" t="s">
        <v>792</v>
      </c>
      <c r="C256" s="74" t="s">
        <v>1105</v>
      </c>
      <c r="D256" s="74" t="s">
        <v>1032</v>
      </c>
      <c r="E256" s="74"/>
      <c r="F256" s="153">
        <f>F257+F261</f>
        <v>48000</v>
      </c>
      <c r="G256" s="153">
        <f>G257+G261</f>
        <v>65047.6</v>
      </c>
      <c r="H256" s="153">
        <f>H257+H261</f>
        <v>63707.9</v>
      </c>
      <c r="I256" s="370">
        <f t="shared" si="30"/>
        <v>132.72479166666668</v>
      </c>
      <c r="J256" s="370">
        <f t="shared" si="31"/>
        <v>97.940431314914</v>
      </c>
    </row>
    <row r="257" spans="1:10" ht="55.5" customHeight="1">
      <c r="A257" s="62" t="s">
        <v>362</v>
      </c>
      <c r="B257" s="74" t="s">
        <v>792</v>
      </c>
      <c r="C257" s="74" t="s">
        <v>1105</v>
      </c>
      <c r="D257" s="74" t="s">
        <v>363</v>
      </c>
      <c r="E257" s="74" t="s">
        <v>920</v>
      </c>
      <c r="F257" s="153">
        <f>F258</f>
        <v>10000</v>
      </c>
      <c r="G257" s="153">
        <f>G258</f>
        <v>32556.5</v>
      </c>
      <c r="H257" s="153">
        <f>H258</f>
        <v>31352.5</v>
      </c>
      <c r="I257" s="370">
        <f t="shared" si="30"/>
        <v>313.52500000000003</v>
      </c>
      <c r="J257" s="370">
        <f t="shared" si="31"/>
        <v>96.3018137699077</v>
      </c>
    </row>
    <row r="258" spans="1:10" ht="15.75">
      <c r="A258" s="206" t="s">
        <v>793</v>
      </c>
      <c r="B258" s="74" t="s">
        <v>792</v>
      </c>
      <c r="C258" s="74" t="s">
        <v>1105</v>
      </c>
      <c r="D258" s="74" t="s">
        <v>364</v>
      </c>
      <c r="E258" s="74" t="s">
        <v>794</v>
      </c>
      <c r="F258" s="153">
        <f>F259+F260</f>
        <v>10000</v>
      </c>
      <c r="G258" s="153">
        <f>G259+G260</f>
        <v>32556.5</v>
      </c>
      <c r="H258" s="153">
        <f>H259+H260</f>
        <v>31352.5</v>
      </c>
      <c r="I258" s="370">
        <f t="shared" si="30"/>
        <v>313.52500000000003</v>
      </c>
      <c r="J258" s="370">
        <f t="shared" si="31"/>
        <v>96.3018137699077</v>
      </c>
    </row>
    <row r="259" spans="1:10" ht="36">
      <c r="A259" s="62" t="s">
        <v>365</v>
      </c>
      <c r="B259" s="74" t="s">
        <v>792</v>
      </c>
      <c r="C259" s="74" t="s">
        <v>1105</v>
      </c>
      <c r="D259" s="74" t="s">
        <v>364</v>
      </c>
      <c r="E259" s="74" t="s">
        <v>809</v>
      </c>
      <c r="F259" s="60">
        <f>10000</f>
        <v>10000</v>
      </c>
      <c r="G259" s="60">
        <f>10000-275.4+704</f>
        <v>10428.6</v>
      </c>
      <c r="H259" s="60">
        <v>9224.6</v>
      </c>
      <c r="I259" s="370">
        <f t="shared" si="30"/>
        <v>92.24600000000001</v>
      </c>
      <c r="J259" s="370">
        <f t="shared" si="31"/>
        <v>88.45482615116123</v>
      </c>
    </row>
    <row r="260" spans="1:10" ht="36">
      <c r="A260" s="62" t="s">
        <v>269</v>
      </c>
      <c r="B260" s="74" t="s">
        <v>792</v>
      </c>
      <c r="C260" s="74" t="s">
        <v>1105</v>
      </c>
      <c r="D260" s="74" t="s">
        <v>364</v>
      </c>
      <c r="E260" s="74" t="s">
        <v>809</v>
      </c>
      <c r="F260" s="60">
        <v>0</v>
      </c>
      <c r="G260" s="60">
        <v>22127.9</v>
      </c>
      <c r="H260" s="60">
        <v>22127.9</v>
      </c>
      <c r="I260" s="370"/>
      <c r="J260" s="370">
        <f t="shared" si="31"/>
        <v>100</v>
      </c>
    </row>
    <row r="261" spans="1:10" ht="42.75" customHeight="1">
      <c r="A261" s="62" t="s">
        <v>270</v>
      </c>
      <c r="B261" s="55" t="s">
        <v>792</v>
      </c>
      <c r="C261" s="55" t="s">
        <v>1105</v>
      </c>
      <c r="D261" s="55" t="s">
        <v>271</v>
      </c>
      <c r="E261" s="74" t="s">
        <v>920</v>
      </c>
      <c r="F261" s="153">
        <f aca="true" t="shared" si="32" ref="F261:H262">F262</f>
        <v>38000</v>
      </c>
      <c r="G261" s="153">
        <f t="shared" si="32"/>
        <v>32491.1</v>
      </c>
      <c r="H261" s="153">
        <f t="shared" si="32"/>
        <v>32355.4</v>
      </c>
      <c r="I261" s="370">
        <f t="shared" si="30"/>
        <v>85.14578947368422</v>
      </c>
      <c r="J261" s="370">
        <f t="shared" si="31"/>
        <v>99.58234716583927</v>
      </c>
    </row>
    <row r="262" spans="1:10" ht="24" customHeight="1">
      <c r="A262" s="206" t="s">
        <v>68</v>
      </c>
      <c r="B262" s="55" t="s">
        <v>792</v>
      </c>
      <c r="C262" s="55" t="s">
        <v>1105</v>
      </c>
      <c r="D262" s="55" t="s">
        <v>271</v>
      </c>
      <c r="E262" s="74" t="s">
        <v>528</v>
      </c>
      <c r="F262" s="153">
        <f t="shared" si="32"/>
        <v>38000</v>
      </c>
      <c r="G262" s="153">
        <f t="shared" si="32"/>
        <v>32491.1</v>
      </c>
      <c r="H262" s="153">
        <f t="shared" si="32"/>
        <v>32355.4</v>
      </c>
      <c r="I262" s="370">
        <f t="shared" si="30"/>
        <v>85.14578947368422</v>
      </c>
      <c r="J262" s="370">
        <f t="shared" si="31"/>
        <v>99.58234716583927</v>
      </c>
    </row>
    <row r="263" spans="1:10" ht="33" customHeight="1">
      <c r="A263" s="206" t="s">
        <v>69</v>
      </c>
      <c r="B263" s="55" t="s">
        <v>792</v>
      </c>
      <c r="C263" s="55" t="s">
        <v>1105</v>
      </c>
      <c r="D263" s="55" t="s">
        <v>271</v>
      </c>
      <c r="E263" s="74" t="s">
        <v>1486</v>
      </c>
      <c r="F263" s="60">
        <f>38000</f>
        <v>38000</v>
      </c>
      <c r="G263" s="60">
        <f>38000-5508.9</f>
        <v>32491.1</v>
      </c>
      <c r="H263" s="60">
        <v>32355.4</v>
      </c>
      <c r="I263" s="370">
        <f t="shared" si="30"/>
        <v>85.14578947368422</v>
      </c>
      <c r="J263" s="370">
        <f t="shared" si="31"/>
        <v>99.58234716583927</v>
      </c>
    </row>
    <row r="264" spans="1:10" ht="24">
      <c r="A264" s="56" t="s">
        <v>66</v>
      </c>
      <c r="B264" s="55" t="s">
        <v>792</v>
      </c>
      <c r="C264" s="55" t="s">
        <v>1105</v>
      </c>
      <c r="D264" s="55" t="s">
        <v>718</v>
      </c>
      <c r="E264" s="74"/>
      <c r="F264" s="153">
        <f aca="true" t="shared" si="33" ref="F264:H266">F265</f>
        <v>8430</v>
      </c>
      <c r="G264" s="153">
        <f t="shared" si="33"/>
        <v>27048.5</v>
      </c>
      <c r="H264" s="153">
        <f t="shared" si="33"/>
        <v>25956.6</v>
      </c>
      <c r="I264" s="370">
        <f t="shared" si="30"/>
        <v>307.9074733096085</v>
      </c>
      <c r="J264" s="370">
        <f t="shared" si="31"/>
        <v>95.96317725567036</v>
      </c>
    </row>
    <row r="265" spans="1:10" ht="108.75" customHeight="1">
      <c r="A265" s="62" t="s">
        <v>152</v>
      </c>
      <c r="B265" s="55" t="s">
        <v>792</v>
      </c>
      <c r="C265" s="55" t="s">
        <v>1105</v>
      </c>
      <c r="D265" s="55" t="s">
        <v>153</v>
      </c>
      <c r="E265" s="74"/>
      <c r="F265" s="153">
        <f t="shared" si="33"/>
        <v>8430</v>
      </c>
      <c r="G265" s="153">
        <f t="shared" si="33"/>
        <v>27048.5</v>
      </c>
      <c r="H265" s="153">
        <f t="shared" si="33"/>
        <v>25956.6</v>
      </c>
      <c r="I265" s="370">
        <f t="shared" si="30"/>
        <v>307.9074733096085</v>
      </c>
      <c r="J265" s="370">
        <f t="shared" si="31"/>
        <v>95.96317725567036</v>
      </c>
    </row>
    <row r="266" spans="1:10" ht="24" customHeight="1">
      <c r="A266" s="206" t="s">
        <v>68</v>
      </c>
      <c r="B266" s="55" t="s">
        <v>792</v>
      </c>
      <c r="C266" s="55" t="s">
        <v>1105</v>
      </c>
      <c r="D266" s="55" t="s">
        <v>272</v>
      </c>
      <c r="E266" s="74" t="s">
        <v>528</v>
      </c>
      <c r="F266" s="153">
        <f t="shared" si="33"/>
        <v>8430</v>
      </c>
      <c r="G266" s="153">
        <f t="shared" si="33"/>
        <v>27048.5</v>
      </c>
      <c r="H266" s="153">
        <f t="shared" si="33"/>
        <v>25956.6</v>
      </c>
      <c r="I266" s="370">
        <f t="shared" si="30"/>
        <v>307.9074733096085</v>
      </c>
      <c r="J266" s="370">
        <f t="shared" si="31"/>
        <v>95.96317725567036</v>
      </c>
    </row>
    <row r="267" spans="1:10" ht="24">
      <c r="A267" s="206" t="s">
        <v>69</v>
      </c>
      <c r="B267" s="55" t="s">
        <v>792</v>
      </c>
      <c r="C267" s="55" t="s">
        <v>1105</v>
      </c>
      <c r="D267" s="55" t="s">
        <v>272</v>
      </c>
      <c r="E267" s="74" t="s">
        <v>1486</v>
      </c>
      <c r="F267" s="60">
        <v>8430</v>
      </c>
      <c r="G267" s="60">
        <f>9679.3+4592.3+6888.4+1174+6888.4+0.1-1174-1000</f>
        <v>27048.5</v>
      </c>
      <c r="H267" s="60">
        <v>25956.6</v>
      </c>
      <c r="I267" s="370">
        <f t="shared" si="30"/>
        <v>307.9074733096085</v>
      </c>
      <c r="J267" s="370">
        <f t="shared" si="31"/>
        <v>95.96317725567036</v>
      </c>
    </row>
    <row r="268" spans="1:10" ht="15.75">
      <c r="A268" s="78" t="s">
        <v>1084</v>
      </c>
      <c r="B268" s="55" t="s">
        <v>792</v>
      </c>
      <c r="C268" s="55" t="s">
        <v>1106</v>
      </c>
      <c r="D268" s="55"/>
      <c r="E268" s="55"/>
      <c r="F268" s="153">
        <f>F269</f>
        <v>37376</v>
      </c>
      <c r="G268" s="153">
        <f>G269</f>
        <v>256721.69999999998</v>
      </c>
      <c r="H268" s="153">
        <f>H269</f>
        <v>165868.99999999997</v>
      </c>
      <c r="I268" s="370">
        <f t="shared" si="30"/>
        <v>443.78478167808214</v>
      </c>
      <c r="J268" s="370">
        <f t="shared" si="31"/>
        <v>64.61043223069962</v>
      </c>
    </row>
    <row r="269" spans="1:10" ht="24" customHeight="1">
      <c r="A269" s="63" t="s">
        <v>351</v>
      </c>
      <c r="B269" s="55" t="s">
        <v>792</v>
      </c>
      <c r="C269" s="55" t="s">
        <v>1106</v>
      </c>
      <c r="D269" s="55" t="s">
        <v>1032</v>
      </c>
      <c r="E269" s="55"/>
      <c r="F269" s="153">
        <f>F270+F284</f>
        <v>37376</v>
      </c>
      <c r="G269" s="153">
        <f>G270+G284</f>
        <v>256721.69999999998</v>
      </c>
      <c r="H269" s="153">
        <f>H270+H284</f>
        <v>165868.99999999997</v>
      </c>
      <c r="I269" s="370">
        <f t="shared" si="30"/>
        <v>443.78478167808214</v>
      </c>
      <c r="J269" s="370">
        <f t="shared" si="31"/>
        <v>64.61043223069962</v>
      </c>
    </row>
    <row r="270" spans="1:10" ht="28.5" customHeight="1">
      <c r="A270" s="57" t="s">
        <v>273</v>
      </c>
      <c r="B270" s="55" t="s">
        <v>792</v>
      </c>
      <c r="C270" s="55" t="s">
        <v>1106</v>
      </c>
      <c r="D270" s="55" t="s">
        <v>274</v>
      </c>
      <c r="E270" s="55" t="s">
        <v>920</v>
      </c>
      <c r="F270" s="153">
        <f>F271+F274+F283</f>
        <v>37376</v>
      </c>
      <c r="G270" s="153">
        <f>G271+G274+G283</f>
        <v>246864.3</v>
      </c>
      <c r="H270" s="153">
        <f>H271+H274+H283</f>
        <v>156011.59999999998</v>
      </c>
      <c r="I270" s="370">
        <f t="shared" si="30"/>
        <v>417.4111729452054</v>
      </c>
      <c r="J270" s="370">
        <f t="shared" si="31"/>
        <v>63.19731123536291</v>
      </c>
    </row>
    <row r="271" spans="1:10" ht="17.25" customHeight="1">
      <c r="A271" s="206" t="s">
        <v>793</v>
      </c>
      <c r="B271" s="55" t="s">
        <v>792</v>
      </c>
      <c r="C271" s="55" t="s">
        <v>1106</v>
      </c>
      <c r="D271" s="74" t="s">
        <v>275</v>
      </c>
      <c r="E271" s="55" t="s">
        <v>794</v>
      </c>
      <c r="F271" s="153">
        <f>F272</f>
        <v>37376</v>
      </c>
      <c r="G271" s="153">
        <f>G272</f>
        <v>37376</v>
      </c>
      <c r="H271" s="153">
        <f>H272</f>
        <v>37376</v>
      </c>
      <c r="I271" s="370">
        <f t="shared" si="30"/>
        <v>100</v>
      </c>
      <c r="J271" s="370">
        <f t="shared" si="31"/>
        <v>100</v>
      </c>
    </row>
    <row r="272" spans="1:10" ht="38.25" customHeight="1">
      <c r="A272" s="62" t="s">
        <v>276</v>
      </c>
      <c r="B272" s="55" t="s">
        <v>792</v>
      </c>
      <c r="C272" s="55" t="s">
        <v>1106</v>
      </c>
      <c r="D272" s="74" t="s">
        <v>275</v>
      </c>
      <c r="E272" s="55" t="s">
        <v>809</v>
      </c>
      <c r="F272" s="60">
        <f>37375.9+0.1</f>
        <v>37376</v>
      </c>
      <c r="G272" s="60">
        <f>37375.9+0.1</f>
        <v>37376</v>
      </c>
      <c r="H272" s="60">
        <f>37375.9+0.1</f>
        <v>37376</v>
      </c>
      <c r="I272" s="370">
        <f t="shared" si="30"/>
        <v>100</v>
      </c>
      <c r="J272" s="370">
        <f t="shared" si="31"/>
        <v>100</v>
      </c>
    </row>
    <row r="273" spans="1:10" ht="45.75" customHeight="1">
      <c r="A273" s="62" t="s">
        <v>154</v>
      </c>
      <c r="B273" s="55" t="s">
        <v>792</v>
      </c>
      <c r="C273" s="55" t="s">
        <v>1106</v>
      </c>
      <c r="D273" s="74" t="s">
        <v>277</v>
      </c>
      <c r="E273" s="55" t="s">
        <v>552</v>
      </c>
      <c r="F273" s="153">
        <f>F274</f>
        <v>0</v>
      </c>
      <c r="G273" s="153">
        <f>G274</f>
        <v>205975.4</v>
      </c>
      <c r="H273" s="153">
        <f>H274</f>
        <v>116171.19999999998</v>
      </c>
      <c r="I273" s="370"/>
      <c r="J273" s="370">
        <f t="shared" si="31"/>
        <v>56.400521615688085</v>
      </c>
    </row>
    <row r="274" spans="1:10" ht="64.5" customHeight="1">
      <c r="A274" s="62" t="s">
        <v>278</v>
      </c>
      <c r="B274" s="55" t="s">
        <v>792</v>
      </c>
      <c r="C274" s="55" t="s">
        <v>1106</v>
      </c>
      <c r="D274" s="74" t="s">
        <v>277</v>
      </c>
      <c r="E274" s="55" t="s">
        <v>155</v>
      </c>
      <c r="F274" s="153">
        <f>F275+F276+F277+F278+F279+F280+F281+F282</f>
        <v>0</v>
      </c>
      <c r="G274" s="153">
        <f>G275+G276+G277+G278+G279+G280+G281+G282</f>
        <v>205975.4</v>
      </c>
      <c r="H274" s="153">
        <f>H275+H276+H277+H278+H279+H280+H281+H282</f>
        <v>116171.19999999998</v>
      </c>
      <c r="I274" s="370"/>
      <c r="J274" s="370">
        <f t="shared" si="31"/>
        <v>56.400521615688085</v>
      </c>
    </row>
    <row r="275" spans="1:10" ht="27" customHeight="1">
      <c r="A275" s="62" t="s">
        <v>279</v>
      </c>
      <c r="B275" s="55" t="s">
        <v>792</v>
      </c>
      <c r="C275" s="55" t="s">
        <v>1106</v>
      </c>
      <c r="D275" s="74" t="s">
        <v>277</v>
      </c>
      <c r="E275" s="55" t="s">
        <v>155</v>
      </c>
      <c r="F275" s="60">
        <v>0</v>
      </c>
      <c r="G275" s="60">
        <v>100000</v>
      </c>
      <c r="H275" s="60">
        <v>75299.7</v>
      </c>
      <c r="I275" s="370"/>
      <c r="J275" s="370">
        <f t="shared" si="31"/>
        <v>75.29969999999999</v>
      </c>
    </row>
    <row r="276" spans="1:10" ht="42.75" customHeight="1">
      <c r="A276" s="62" t="s">
        <v>280</v>
      </c>
      <c r="B276" s="55" t="s">
        <v>792</v>
      </c>
      <c r="C276" s="55" t="s">
        <v>1106</v>
      </c>
      <c r="D276" s="74" t="s">
        <v>277</v>
      </c>
      <c r="E276" s="55" t="s">
        <v>155</v>
      </c>
      <c r="F276" s="60">
        <v>0</v>
      </c>
      <c r="G276" s="60">
        <v>34154</v>
      </c>
      <c r="H276" s="60">
        <v>34153.6</v>
      </c>
      <c r="I276" s="370"/>
      <c r="J276" s="370">
        <f t="shared" si="31"/>
        <v>99.99882883410434</v>
      </c>
    </row>
    <row r="277" spans="1:10" ht="42.75" customHeight="1">
      <c r="A277" s="62" t="s">
        <v>281</v>
      </c>
      <c r="B277" s="55" t="s">
        <v>792</v>
      </c>
      <c r="C277" s="55" t="s">
        <v>1106</v>
      </c>
      <c r="D277" s="74" t="s">
        <v>277</v>
      </c>
      <c r="E277" s="55" t="s">
        <v>155</v>
      </c>
      <c r="F277" s="60">
        <v>0</v>
      </c>
      <c r="G277" s="60">
        <v>1717.9</v>
      </c>
      <c r="H277" s="60">
        <v>1717.9</v>
      </c>
      <c r="I277" s="370"/>
      <c r="J277" s="370">
        <f t="shared" si="31"/>
        <v>100</v>
      </c>
    </row>
    <row r="278" spans="1:10" ht="24.75" customHeight="1">
      <c r="A278" s="62" t="s">
        <v>282</v>
      </c>
      <c r="B278" s="55" t="s">
        <v>792</v>
      </c>
      <c r="C278" s="55" t="s">
        <v>1106</v>
      </c>
      <c r="D278" s="74" t="s">
        <v>277</v>
      </c>
      <c r="E278" s="55" t="s">
        <v>155</v>
      </c>
      <c r="F278" s="60">
        <v>0</v>
      </c>
      <c r="G278" s="60">
        <v>5000</v>
      </c>
      <c r="H278" s="60">
        <v>5000</v>
      </c>
      <c r="I278" s="370"/>
      <c r="J278" s="370">
        <f t="shared" si="31"/>
        <v>100</v>
      </c>
    </row>
    <row r="279" spans="1:10" ht="40.5" customHeight="1">
      <c r="A279" s="62" t="s">
        <v>283</v>
      </c>
      <c r="B279" s="55" t="s">
        <v>792</v>
      </c>
      <c r="C279" s="55" t="s">
        <v>1106</v>
      </c>
      <c r="D279" s="74" t="s">
        <v>277</v>
      </c>
      <c r="E279" s="55" t="s">
        <v>155</v>
      </c>
      <c r="F279" s="60">
        <v>0</v>
      </c>
      <c r="G279" s="60">
        <v>4173.7</v>
      </c>
      <c r="H279" s="60">
        <v>0</v>
      </c>
      <c r="I279" s="370"/>
      <c r="J279" s="370">
        <f t="shared" si="31"/>
        <v>0</v>
      </c>
    </row>
    <row r="280" spans="1:10" ht="40.5" customHeight="1">
      <c r="A280" s="62" t="s">
        <v>284</v>
      </c>
      <c r="B280" s="55" t="s">
        <v>792</v>
      </c>
      <c r="C280" s="55" t="s">
        <v>1106</v>
      </c>
      <c r="D280" s="74" t="s">
        <v>277</v>
      </c>
      <c r="E280" s="55" t="s">
        <v>155</v>
      </c>
      <c r="F280" s="60">
        <v>0</v>
      </c>
      <c r="G280" s="60">
        <v>929.8</v>
      </c>
      <c r="H280" s="60">
        <v>0</v>
      </c>
      <c r="I280" s="370"/>
      <c r="J280" s="370">
        <f t="shared" si="31"/>
        <v>0</v>
      </c>
    </row>
    <row r="281" spans="1:10" ht="40.5" customHeight="1">
      <c r="A281" s="62" t="s">
        <v>493</v>
      </c>
      <c r="B281" s="55" t="s">
        <v>792</v>
      </c>
      <c r="C281" s="55" t="s">
        <v>1106</v>
      </c>
      <c r="D281" s="74" t="s">
        <v>277</v>
      </c>
      <c r="E281" s="55" t="s">
        <v>155</v>
      </c>
      <c r="F281" s="60">
        <v>0</v>
      </c>
      <c r="G281" s="60">
        <v>35000</v>
      </c>
      <c r="H281" s="60">
        <v>0</v>
      </c>
      <c r="I281" s="370"/>
      <c r="J281" s="370">
        <f t="shared" si="31"/>
        <v>0</v>
      </c>
    </row>
    <row r="282" spans="1:10" ht="40.5" customHeight="1">
      <c r="A282" s="62" t="s">
        <v>494</v>
      </c>
      <c r="B282" s="55" t="s">
        <v>792</v>
      </c>
      <c r="C282" s="55" t="s">
        <v>1106</v>
      </c>
      <c r="D282" s="74" t="s">
        <v>277</v>
      </c>
      <c r="E282" s="55" t="s">
        <v>155</v>
      </c>
      <c r="F282" s="60">
        <v>0</v>
      </c>
      <c r="G282" s="60">
        <v>25000</v>
      </c>
      <c r="H282" s="60">
        <v>0</v>
      </c>
      <c r="I282" s="370"/>
      <c r="J282" s="370">
        <f t="shared" si="31"/>
        <v>0</v>
      </c>
    </row>
    <row r="283" spans="1:10" ht="63.75" customHeight="1">
      <c r="A283" s="62" t="s">
        <v>495</v>
      </c>
      <c r="B283" s="55" t="s">
        <v>792</v>
      </c>
      <c r="C283" s="55" t="s">
        <v>1106</v>
      </c>
      <c r="D283" s="74" t="s">
        <v>496</v>
      </c>
      <c r="E283" s="55" t="s">
        <v>1486</v>
      </c>
      <c r="F283" s="60">
        <v>0</v>
      </c>
      <c r="G283" s="60">
        <v>3512.9</v>
      </c>
      <c r="H283" s="60">
        <v>2464.4</v>
      </c>
      <c r="I283" s="370"/>
      <c r="J283" s="370">
        <f t="shared" si="31"/>
        <v>70.15286515414616</v>
      </c>
    </row>
    <row r="284" spans="1:10" ht="40.5" customHeight="1">
      <c r="A284" s="62" t="s">
        <v>497</v>
      </c>
      <c r="B284" s="55" t="s">
        <v>792</v>
      </c>
      <c r="C284" s="55" t="s">
        <v>1106</v>
      </c>
      <c r="D284" s="74" t="s">
        <v>498</v>
      </c>
      <c r="E284" s="55" t="s">
        <v>920</v>
      </c>
      <c r="F284" s="153">
        <f aca="true" t="shared" si="34" ref="F284:H285">F285</f>
        <v>0</v>
      </c>
      <c r="G284" s="153">
        <f t="shared" si="34"/>
        <v>9857.4</v>
      </c>
      <c r="H284" s="153">
        <f t="shared" si="34"/>
        <v>9857.4</v>
      </c>
      <c r="I284" s="370"/>
      <c r="J284" s="370">
        <f t="shared" si="31"/>
        <v>100</v>
      </c>
    </row>
    <row r="285" spans="1:10" ht="40.5" customHeight="1">
      <c r="A285" s="206" t="s">
        <v>68</v>
      </c>
      <c r="B285" s="55" t="s">
        <v>792</v>
      </c>
      <c r="C285" s="55" t="s">
        <v>1106</v>
      </c>
      <c r="D285" s="74" t="s">
        <v>498</v>
      </c>
      <c r="E285" s="55" t="s">
        <v>528</v>
      </c>
      <c r="F285" s="153">
        <f t="shared" si="34"/>
        <v>0</v>
      </c>
      <c r="G285" s="153">
        <f t="shared" si="34"/>
        <v>9857.4</v>
      </c>
      <c r="H285" s="153">
        <f t="shared" si="34"/>
        <v>9857.4</v>
      </c>
      <c r="I285" s="370"/>
      <c r="J285" s="370">
        <f t="shared" si="31"/>
        <v>100</v>
      </c>
    </row>
    <row r="286" spans="1:10" ht="40.5" customHeight="1">
      <c r="A286" s="206" t="s">
        <v>69</v>
      </c>
      <c r="B286" s="55" t="s">
        <v>792</v>
      </c>
      <c r="C286" s="55" t="s">
        <v>1106</v>
      </c>
      <c r="D286" s="74" t="s">
        <v>498</v>
      </c>
      <c r="E286" s="55" t="s">
        <v>1486</v>
      </c>
      <c r="F286" s="60">
        <v>0</v>
      </c>
      <c r="G286" s="60">
        <v>9857.4</v>
      </c>
      <c r="H286" s="60">
        <v>9857.4</v>
      </c>
      <c r="I286" s="370"/>
      <c r="J286" s="370">
        <f t="shared" si="31"/>
        <v>100</v>
      </c>
    </row>
    <row r="287" spans="1:10" ht="18.75" customHeight="1">
      <c r="A287" s="71" t="s">
        <v>1085</v>
      </c>
      <c r="B287" s="55" t="s">
        <v>792</v>
      </c>
      <c r="C287" s="55" t="s">
        <v>530</v>
      </c>
      <c r="D287" s="74"/>
      <c r="E287" s="55"/>
      <c r="F287" s="153">
        <f>F288+F330</f>
        <v>148320</v>
      </c>
      <c r="G287" s="153">
        <f>G288+G330</f>
        <v>208264.2</v>
      </c>
      <c r="H287" s="153">
        <f>H288+H330</f>
        <v>181920</v>
      </c>
      <c r="I287" s="370">
        <f t="shared" si="30"/>
        <v>122.65372168284789</v>
      </c>
      <c r="J287" s="370">
        <f t="shared" si="31"/>
        <v>87.35058641859715</v>
      </c>
    </row>
    <row r="288" spans="1:10" ht="30.75" customHeight="1">
      <c r="A288" s="56" t="s">
        <v>351</v>
      </c>
      <c r="B288" s="55" t="s">
        <v>792</v>
      </c>
      <c r="C288" s="55" t="s">
        <v>530</v>
      </c>
      <c r="D288" s="55" t="s">
        <v>1032</v>
      </c>
      <c r="E288" s="55"/>
      <c r="F288" s="153">
        <f>F289+F293+F305+F310+F314</f>
        <v>148320</v>
      </c>
      <c r="G288" s="153">
        <f>G289+G293</f>
        <v>204714.2</v>
      </c>
      <c r="H288" s="153">
        <f>H289+H293</f>
        <v>178873.2</v>
      </c>
      <c r="I288" s="370">
        <f t="shared" si="30"/>
        <v>120.59951456310681</v>
      </c>
      <c r="J288" s="370">
        <f t="shared" si="31"/>
        <v>87.37703588710505</v>
      </c>
    </row>
    <row r="289" spans="1:10" ht="55.5" customHeight="1">
      <c r="A289" s="73" t="s">
        <v>362</v>
      </c>
      <c r="B289" s="55" t="s">
        <v>792</v>
      </c>
      <c r="C289" s="55" t="s">
        <v>530</v>
      </c>
      <c r="D289" s="55" t="s">
        <v>363</v>
      </c>
      <c r="E289" s="55"/>
      <c r="F289" s="153">
        <f aca="true" t="shared" si="35" ref="F289:H291">F290</f>
        <v>2000</v>
      </c>
      <c r="G289" s="153">
        <f t="shared" si="35"/>
        <v>2802.5</v>
      </c>
      <c r="H289" s="153">
        <f t="shared" si="35"/>
        <v>2771.2</v>
      </c>
      <c r="I289" s="370">
        <f t="shared" si="30"/>
        <v>138.56</v>
      </c>
      <c r="J289" s="370">
        <f t="shared" si="31"/>
        <v>98.88314005352363</v>
      </c>
    </row>
    <row r="290" spans="1:10" ht="36">
      <c r="A290" s="64" t="s">
        <v>1183</v>
      </c>
      <c r="B290" s="55" t="s">
        <v>792</v>
      </c>
      <c r="C290" s="55" t="s">
        <v>530</v>
      </c>
      <c r="D290" s="55" t="s">
        <v>499</v>
      </c>
      <c r="E290" s="55" t="s">
        <v>920</v>
      </c>
      <c r="F290" s="153">
        <f t="shared" si="35"/>
        <v>2000</v>
      </c>
      <c r="G290" s="153">
        <f t="shared" si="35"/>
        <v>2802.5</v>
      </c>
      <c r="H290" s="153">
        <f t="shared" si="35"/>
        <v>2771.2</v>
      </c>
      <c r="I290" s="370">
        <f t="shared" si="30"/>
        <v>138.56</v>
      </c>
      <c r="J290" s="370">
        <f t="shared" si="31"/>
        <v>98.88314005352363</v>
      </c>
    </row>
    <row r="291" spans="1:10" ht="24">
      <c r="A291" s="206" t="s">
        <v>68</v>
      </c>
      <c r="B291" s="55" t="s">
        <v>792</v>
      </c>
      <c r="C291" s="55" t="s">
        <v>530</v>
      </c>
      <c r="D291" s="55" t="s">
        <v>499</v>
      </c>
      <c r="E291" s="55" t="s">
        <v>528</v>
      </c>
      <c r="F291" s="153">
        <f t="shared" si="35"/>
        <v>2000</v>
      </c>
      <c r="G291" s="153">
        <f t="shared" si="35"/>
        <v>2802.5</v>
      </c>
      <c r="H291" s="153">
        <f t="shared" si="35"/>
        <v>2771.2</v>
      </c>
      <c r="I291" s="370">
        <f t="shared" si="30"/>
        <v>138.56</v>
      </c>
      <c r="J291" s="370">
        <f t="shared" si="31"/>
        <v>98.88314005352363</v>
      </c>
    </row>
    <row r="292" spans="1:10" ht="24">
      <c r="A292" s="206" t="s">
        <v>710</v>
      </c>
      <c r="B292" s="55" t="s">
        <v>792</v>
      </c>
      <c r="C292" s="55" t="s">
        <v>530</v>
      </c>
      <c r="D292" s="55" t="s">
        <v>499</v>
      </c>
      <c r="E292" s="55" t="s">
        <v>1486</v>
      </c>
      <c r="F292" s="60">
        <f>2000</f>
        <v>2000</v>
      </c>
      <c r="G292" s="60">
        <f>2000+1231.1-428.6</f>
        <v>2802.5</v>
      </c>
      <c r="H292" s="60">
        <v>2771.2</v>
      </c>
      <c r="I292" s="370">
        <f t="shared" si="30"/>
        <v>138.56</v>
      </c>
      <c r="J292" s="370">
        <f t="shared" si="31"/>
        <v>98.88314005352363</v>
      </c>
    </row>
    <row r="293" spans="1:10" ht="36">
      <c r="A293" s="62" t="s">
        <v>1033</v>
      </c>
      <c r="B293" s="55" t="s">
        <v>792</v>
      </c>
      <c r="C293" s="55" t="s">
        <v>530</v>
      </c>
      <c r="D293" s="55" t="s">
        <v>1034</v>
      </c>
      <c r="E293" s="55"/>
      <c r="F293" s="153">
        <f>F294</f>
        <v>85000</v>
      </c>
      <c r="G293" s="153">
        <f>G294</f>
        <v>201911.7</v>
      </c>
      <c r="H293" s="153">
        <f>H294</f>
        <v>176102</v>
      </c>
      <c r="I293" s="370">
        <f t="shared" si="30"/>
        <v>207.17882352941177</v>
      </c>
      <c r="J293" s="370">
        <f t="shared" si="31"/>
        <v>87.21733312135947</v>
      </c>
    </row>
    <row r="294" spans="1:10" ht="24">
      <c r="A294" s="57" t="s">
        <v>1465</v>
      </c>
      <c r="B294" s="55" t="s">
        <v>792</v>
      </c>
      <c r="C294" s="55" t="s">
        <v>530</v>
      </c>
      <c r="D294" s="55" t="s">
        <v>500</v>
      </c>
      <c r="E294" s="55" t="s">
        <v>920</v>
      </c>
      <c r="F294" s="153">
        <f>F296+F297</f>
        <v>85000</v>
      </c>
      <c r="G294" s="153">
        <f>G295+G297+G305+G310+G314</f>
        <v>201911.7</v>
      </c>
      <c r="H294" s="153">
        <f>H295+H297+H305+H310+H314</f>
        <v>176102</v>
      </c>
      <c r="I294" s="370">
        <f t="shared" si="30"/>
        <v>207.17882352941177</v>
      </c>
      <c r="J294" s="370">
        <f t="shared" si="31"/>
        <v>87.21733312135947</v>
      </c>
    </row>
    <row r="295" spans="1:10" ht="24">
      <c r="A295" s="206" t="s">
        <v>68</v>
      </c>
      <c r="B295" s="55" t="s">
        <v>792</v>
      </c>
      <c r="C295" s="55" t="s">
        <v>530</v>
      </c>
      <c r="D295" s="55" t="s">
        <v>500</v>
      </c>
      <c r="E295" s="55" t="s">
        <v>528</v>
      </c>
      <c r="F295" s="153">
        <f>F296</f>
        <v>85000</v>
      </c>
      <c r="G295" s="153">
        <f>G296</f>
        <v>85000</v>
      </c>
      <c r="H295" s="153">
        <f>H296</f>
        <v>78689.9</v>
      </c>
      <c r="I295" s="370">
        <f t="shared" si="30"/>
        <v>92.57635294117647</v>
      </c>
      <c r="J295" s="370">
        <f t="shared" si="31"/>
        <v>92.57635294117647</v>
      </c>
    </row>
    <row r="296" spans="1:10" ht="24">
      <c r="A296" s="206" t="s">
        <v>710</v>
      </c>
      <c r="B296" s="55" t="s">
        <v>792</v>
      </c>
      <c r="C296" s="55" t="s">
        <v>530</v>
      </c>
      <c r="D296" s="55" t="s">
        <v>500</v>
      </c>
      <c r="E296" s="55" t="s">
        <v>1486</v>
      </c>
      <c r="F296" s="60">
        <v>85000</v>
      </c>
      <c r="G296" s="60">
        <v>85000</v>
      </c>
      <c r="H296" s="60">
        <v>78689.9</v>
      </c>
      <c r="I296" s="370">
        <f t="shared" si="30"/>
        <v>92.57635294117647</v>
      </c>
      <c r="J296" s="370">
        <f t="shared" si="31"/>
        <v>92.57635294117647</v>
      </c>
    </row>
    <row r="297" spans="1:10" ht="36">
      <c r="A297" s="62" t="s">
        <v>154</v>
      </c>
      <c r="B297" s="55" t="s">
        <v>792</v>
      </c>
      <c r="C297" s="55" t="s">
        <v>530</v>
      </c>
      <c r="D297" s="55" t="s">
        <v>500</v>
      </c>
      <c r="E297" s="55" t="s">
        <v>552</v>
      </c>
      <c r="F297" s="153">
        <f>F298</f>
        <v>0</v>
      </c>
      <c r="G297" s="153">
        <f>G298</f>
        <v>18952.7</v>
      </c>
      <c r="H297" s="153">
        <f>H298</f>
        <v>16976.9</v>
      </c>
      <c r="I297" s="370"/>
      <c r="J297" s="370">
        <f t="shared" si="31"/>
        <v>89.57510011766135</v>
      </c>
    </row>
    <row r="298" spans="1:10" ht="48">
      <c r="A298" s="62" t="s">
        <v>278</v>
      </c>
      <c r="B298" s="55" t="s">
        <v>792</v>
      </c>
      <c r="C298" s="55" t="s">
        <v>530</v>
      </c>
      <c r="D298" s="55" t="s">
        <v>500</v>
      </c>
      <c r="E298" s="55" t="s">
        <v>155</v>
      </c>
      <c r="F298" s="153">
        <f>F299+F300+F301+F302+F303+F304</f>
        <v>0</v>
      </c>
      <c r="G298" s="153">
        <f>G299+G300+G301+G302+G303+G304</f>
        <v>18952.7</v>
      </c>
      <c r="H298" s="153">
        <f>H299+H300+H301+H302+H303+H304</f>
        <v>16976.9</v>
      </c>
      <c r="I298" s="370"/>
      <c r="J298" s="370">
        <f t="shared" si="31"/>
        <v>89.57510011766135</v>
      </c>
    </row>
    <row r="299" spans="1:10" ht="51" customHeight="1">
      <c r="A299" s="62" t="s">
        <v>501</v>
      </c>
      <c r="B299" s="55" t="s">
        <v>792</v>
      </c>
      <c r="C299" s="55" t="s">
        <v>530</v>
      </c>
      <c r="D299" s="55" t="s">
        <v>500</v>
      </c>
      <c r="E299" s="55" t="s">
        <v>155</v>
      </c>
      <c r="F299" s="60">
        <v>0</v>
      </c>
      <c r="G299" s="60">
        <f>10519.6-0.1</f>
        <v>10519.5</v>
      </c>
      <c r="H299" s="60">
        <v>9386.7</v>
      </c>
      <c r="I299" s="370"/>
      <c r="J299" s="370">
        <f t="shared" si="31"/>
        <v>89.23142734920862</v>
      </c>
    </row>
    <row r="300" spans="1:10" ht="24">
      <c r="A300" s="62" t="s">
        <v>502</v>
      </c>
      <c r="B300" s="55" t="s">
        <v>792</v>
      </c>
      <c r="C300" s="55" t="s">
        <v>530</v>
      </c>
      <c r="D300" s="55" t="s">
        <v>500</v>
      </c>
      <c r="E300" s="55" t="s">
        <v>155</v>
      </c>
      <c r="F300" s="60">
        <v>0</v>
      </c>
      <c r="G300" s="60">
        <v>238.1</v>
      </c>
      <c r="H300" s="60">
        <v>238.1</v>
      </c>
      <c r="I300" s="370"/>
      <c r="J300" s="370">
        <f t="shared" si="31"/>
        <v>100</v>
      </c>
    </row>
    <row r="301" spans="1:10" ht="36">
      <c r="A301" s="62" t="s">
        <v>503</v>
      </c>
      <c r="B301" s="55" t="s">
        <v>792</v>
      </c>
      <c r="C301" s="55" t="s">
        <v>530</v>
      </c>
      <c r="D301" s="55" t="s">
        <v>500</v>
      </c>
      <c r="E301" s="55" t="s">
        <v>155</v>
      </c>
      <c r="F301" s="60">
        <v>0</v>
      </c>
      <c r="G301" s="60">
        <v>205.1</v>
      </c>
      <c r="H301" s="60">
        <v>205.1</v>
      </c>
      <c r="I301" s="370"/>
      <c r="J301" s="370">
        <f t="shared" si="31"/>
        <v>100</v>
      </c>
    </row>
    <row r="302" spans="1:10" ht="48">
      <c r="A302" s="206" t="s">
        <v>504</v>
      </c>
      <c r="B302" s="55" t="s">
        <v>792</v>
      </c>
      <c r="C302" s="55" t="s">
        <v>530</v>
      </c>
      <c r="D302" s="55" t="s">
        <v>500</v>
      </c>
      <c r="E302" s="55" t="s">
        <v>155</v>
      </c>
      <c r="F302" s="60">
        <v>0</v>
      </c>
      <c r="G302" s="60">
        <v>294.4</v>
      </c>
      <c r="H302" s="60">
        <v>294.4</v>
      </c>
      <c r="I302" s="370"/>
      <c r="J302" s="370">
        <f t="shared" si="31"/>
        <v>100</v>
      </c>
    </row>
    <row r="303" spans="1:10" ht="24">
      <c r="A303" s="206" t="s">
        <v>505</v>
      </c>
      <c r="B303" s="55" t="s">
        <v>792</v>
      </c>
      <c r="C303" s="55" t="s">
        <v>530</v>
      </c>
      <c r="D303" s="55" t="s">
        <v>500</v>
      </c>
      <c r="E303" s="55" t="s">
        <v>155</v>
      </c>
      <c r="F303" s="60">
        <v>0</v>
      </c>
      <c r="G303" s="60">
        <v>1901</v>
      </c>
      <c r="H303" s="60">
        <v>1841.3</v>
      </c>
      <c r="I303" s="370"/>
      <c r="J303" s="370">
        <f aca="true" t="shared" si="36" ref="J303:J350">H303/G303*100</f>
        <v>96.85954760652288</v>
      </c>
    </row>
    <row r="304" spans="1:10" ht="24">
      <c r="A304" s="206" t="s">
        <v>506</v>
      </c>
      <c r="B304" s="55" t="s">
        <v>792</v>
      </c>
      <c r="C304" s="55" t="s">
        <v>530</v>
      </c>
      <c r="D304" s="55" t="s">
        <v>500</v>
      </c>
      <c r="E304" s="55" t="s">
        <v>155</v>
      </c>
      <c r="F304" s="60">
        <v>0</v>
      </c>
      <c r="G304" s="60">
        <f>3392.5-0.1+2402.1+0.1</f>
        <v>5794.6</v>
      </c>
      <c r="H304" s="60">
        <v>5011.3</v>
      </c>
      <c r="I304" s="370"/>
      <c r="J304" s="370">
        <f t="shared" si="36"/>
        <v>86.48224208746073</v>
      </c>
    </row>
    <row r="305" spans="1:10" ht="48">
      <c r="A305" s="62" t="s">
        <v>675</v>
      </c>
      <c r="B305" s="55" t="s">
        <v>792</v>
      </c>
      <c r="C305" s="55" t="s">
        <v>530</v>
      </c>
      <c r="D305" s="55" t="s">
        <v>507</v>
      </c>
      <c r="E305" s="55" t="s">
        <v>920</v>
      </c>
      <c r="F305" s="153">
        <f>F306+F308</f>
        <v>13240</v>
      </c>
      <c r="G305" s="153">
        <f>G306+G308</f>
        <v>11306.800000000001</v>
      </c>
      <c r="H305" s="153">
        <f>H306+H308</f>
        <v>11287.500000000002</v>
      </c>
      <c r="I305" s="370">
        <f aca="true" t="shared" si="37" ref="I305:I350">H305/F305*100</f>
        <v>85.25302114803627</v>
      </c>
      <c r="J305" s="370">
        <f t="shared" si="36"/>
        <v>99.82930625818092</v>
      </c>
    </row>
    <row r="306" spans="1:10" ht="24">
      <c r="A306" s="206" t="s">
        <v>68</v>
      </c>
      <c r="B306" s="55" t="s">
        <v>792</v>
      </c>
      <c r="C306" s="55" t="s">
        <v>530</v>
      </c>
      <c r="D306" s="55" t="s">
        <v>507</v>
      </c>
      <c r="E306" s="55" t="s">
        <v>528</v>
      </c>
      <c r="F306" s="153">
        <f>F307</f>
        <v>0</v>
      </c>
      <c r="G306" s="153">
        <f>G307</f>
        <v>1285.9</v>
      </c>
      <c r="H306" s="153">
        <f>H307</f>
        <v>1266.6</v>
      </c>
      <c r="I306" s="370"/>
      <c r="J306" s="370">
        <f t="shared" si="36"/>
        <v>98.49910568473442</v>
      </c>
    </row>
    <row r="307" spans="1:10" ht="24">
      <c r="A307" s="206" t="s">
        <v>710</v>
      </c>
      <c r="B307" s="55" t="s">
        <v>792</v>
      </c>
      <c r="C307" s="55" t="s">
        <v>530</v>
      </c>
      <c r="D307" s="55" t="s">
        <v>507</v>
      </c>
      <c r="E307" s="55" t="s">
        <v>1486</v>
      </c>
      <c r="F307" s="60">
        <v>0</v>
      </c>
      <c r="G307" s="60">
        <f>631.6+654.3</f>
        <v>1285.9</v>
      </c>
      <c r="H307" s="60">
        <v>1266.6</v>
      </c>
      <c r="I307" s="370"/>
      <c r="J307" s="370">
        <f t="shared" si="36"/>
        <v>98.49910568473442</v>
      </c>
    </row>
    <row r="308" spans="1:10" ht="36">
      <c r="A308" s="62" t="s">
        <v>139</v>
      </c>
      <c r="B308" s="55" t="s">
        <v>792</v>
      </c>
      <c r="C308" s="55" t="s">
        <v>530</v>
      </c>
      <c r="D308" s="55" t="s">
        <v>507</v>
      </c>
      <c r="E308" s="55" t="s">
        <v>1454</v>
      </c>
      <c r="F308" s="153">
        <f>F309</f>
        <v>13240</v>
      </c>
      <c r="G308" s="153">
        <f>G309</f>
        <v>10020.900000000001</v>
      </c>
      <c r="H308" s="153">
        <f>H309</f>
        <v>10020.900000000001</v>
      </c>
      <c r="I308" s="370">
        <f t="shared" si="37"/>
        <v>75.68655589123868</v>
      </c>
      <c r="J308" s="370">
        <f t="shared" si="36"/>
        <v>100</v>
      </c>
    </row>
    <row r="309" spans="1:10" ht="24">
      <c r="A309" s="57" t="s">
        <v>553</v>
      </c>
      <c r="B309" s="55" t="s">
        <v>792</v>
      </c>
      <c r="C309" s="55" t="s">
        <v>530</v>
      </c>
      <c r="D309" s="55" t="s">
        <v>507</v>
      </c>
      <c r="E309" s="55" t="s">
        <v>554</v>
      </c>
      <c r="F309" s="60">
        <f>13240</f>
        <v>13240</v>
      </c>
      <c r="G309" s="60">
        <f>13240+1013.2-3900-332.3</f>
        <v>10020.900000000001</v>
      </c>
      <c r="H309" s="60">
        <f>13240+1013.2-3900-332.3</f>
        <v>10020.900000000001</v>
      </c>
      <c r="I309" s="370">
        <f t="shared" si="37"/>
        <v>75.68655589123868</v>
      </c>
      <c r="J309" s="370">
        <f t="shared" si="36"/>
        <v>100</v>
      </c>
    </row>
    <row r="310" spans="1:10" ht="24">
      <c r="A310" s="62" t="s">
        <v>1135</v>
      </c>
      <c r="B310" s="55" t="s">
        <v>792</v>
      </c>
      <c r="C310" s="55" t="s">
        <v>530</v>
      </c>
      <c r="D310" s="55" t="s">
        <v>508</v>
      </c>
      <c r="E310" s="55" t="s">
        <v>920</v>
      </c>
      <c r="F310" s="153">
        <f aca="true" t="shared" si="38" ref="F310:H311">F311</f>
        <v>15000</v>
      </c>
      <c r="G310" s="153">
        <f t="shared" si="38"/>
        <v>15017.5</v>
      </c>
      <c r="H310" s="153">
        <f t="shared" si="38"/>
        <v>15010.5</v>
      </c>
      <c r="I310" s="370">
        <f t="shared" si="37"/>
        <v>100.07</v>
      </c>
      <c r="J310" s="370">
        <f t="shared" si="36"/>
        <v>99.95338771433327</v>
      </c>
    </row>
    <row r="311" spans="1:10" ht="36">
      <c r="A311" s="62" t="s">
        <v>139</v>
      </c>
      <c r="B311" s="55" t="s">
        <v>792</v>
      </c>
      <c r="C311" s="55" t="s">
        <v>530</v>
      </c>
      <c r="D311" s="55" t="s">
        <v>508</v>
      </c>
      <c r="E311" s="55" t="s">
        <v>1454</v>
      </c>
      <c r="F311" s="153">
        <f t="shared" si="38"/>
        <v>15000</v>
      </c>
      <c r="G311" s="153">
        <f t="shared" si="38"/>
        <v>15017.5</v>
      </c>
      <c r="H311" s="153">
        <f t="shared" si="38"/>
        <v>15010.5</v>
      </c>
      <c r="I311" s="370">
        <f t="shared" si="37"/>
        <v>100.07</v>
      </c>
      <c r="J311" s="370">
        <f t="shared" si="36"/>
        <v>99.95338771433327</v>
      </c>
    </row>
    <row r="312" spans="1:10" ht="24">
      <c r="A312" s="57" t="s">
        <v>141</v>
      </c>
      <c r="B312" s="55" t="s">
        <v>792</v>
      </c>
      <c r="C312" s="55" t="s">
        <v>530</v>
      </c>
      <c r="D312" s="55" t="s">
        <v>508</v>
      </c>
      <c r="E312" s="55" t="s">
        <v>554</v>
      </c>
      <c r="F312" s="60">
        <f>15000+F313</f>
        <v>15000</v>
      </c>
      <c r="G312" s="60">
        <f>15000+G313</f>
        <v>15017.5</v>
      </c>
      <c r="H312" s="60">
        <v>15010.5</v>
      </c>
      <c r="I312" s="370">
        <f t="shared" si="37"/>
        <v>100.07</v>
      </c>
      <c r="J312" s="370">
        <f t="shared" si="36"/>
        <v>99.95338771433327</v>
      </c>
    </row>
    <row r="313" spans="1:10" ht="204">
      <c r="A313" s="57" t="s">
        <v>509</v>
      </c>
      <c r="B313" s="55" t="s">
        <v>792</v>
      </c>
      <c r="C313" s="55" t="s">
        <v>530</v>
      </c>
      <c r="D313" s="55" t="s">
        <v>508</v>
      </c>
      <c r="E313" s="55" t="s">
        <v>554</v>
      </c>
      <c r="F313" s="60">
        <v>0</v>
      </c>
      <c r="G313" s="60">
        <v>17.5</v>
      </c>
      <c r="H313" s="60">
        <v>10.5</v>
      </c>
      <c r="I313" s="370"/>
      <c r="J313" s="370">
        <f t="shared" si="36"/>
        <v>60</v>
      </c>
    </row>
    <row r="314" spans="1:10" ht="24">
      <c r="A314" s="57" t="s">
        <v>510</v>
      </c>
      <c r="B314" s="55" t="s">
        <v>792</v>
      </c>
      <c r="C314" s="55" t="s">
        <v>530</v>
      </c>
      <c r="D314" s="55" t="s">
        <v>511</v>
      </c>
      <c r="E314" s="55" t="s">
        <v>920</v>
      </c>
      <c r="F314" s="153">
        <f>F317+F315</f>
        <v>33080</v>
      </c>
      <c r="G314" s="153">
        <f>G317+G315</f>
        <v>71634.70000000001</v>
      </c>
      <c r="H314" s="153">
        <f>H317+H315</f>
        <v>54137.2</v>
      </c>
      <c r="I314" s="370">
        <f t="shared" si="37"/>
        <v>163.6553808948005</v>
      </c>
      <c r="J314" s="370">
        <f t="shared" si="36"/>
        <v>75.573988583745</v>
      </c>
    </row>
    <row r="315" spans="1:10" ht="24">
      <c r="A315" s="206" t="s">
        <v>68</v>
      </c>
      <c r="B315" s="55" t="s">
        <v>792</v>
      </c>
      <c r="C315" s="55" t="s">
        <v>530</v>
      </c>
      <c r="D315" s="55" t="s">
        <v>511</v>
      </c>
      <c r="E315" s="55" t="s">
        <v>528</v>
      </c>
      <c r="F315" s="153">
        <f>F316</f>
        <v>0</v>
      </c>
      <c r="G315" s="153">
        <f>G316</f>
        <v>19826.3</v>
      </c>
      <c r="H315" s="153">
        <f>H316</f>
        <v>8415</v>
      </c>
      <c r="I315" s="370"/>
      <c r="J315" s="370">
        <f t="shared" si="36"/>
        <v>42.44362286457887</v>
      </c>
    </row>
    <row r="316" spans="1:10" ht="24">
      <c r="A316" s="206" t="s">
        <v>710</v>
      </c>
      <c r="B316" s="55" t="s">
        <v>792</v>
      </c>
      <c r="C316" s="55" t="s">
        <v>530</v>
      </c>
      <c r="D316" s="55" t="s">
        <v>511</v>
      </c>
      <c r="E316" s="55" t="s">
        <v>1486</v>
      </c>
      <c r="F316" s="60">
        <v>0</v>
      </c>
      <c r="G316" s="60">
        <f>19029.6-6084.5+4106.4+300+300+1942.3+232.5</f>
        <v>19826.3</v>
      </c>
      <c r="H316" s="60">
        <v>8415</v>
      </c>
      <c r="I316" s="370"/>
      <c r="J316" s="370">
        <f t="shared" si="36"/>
        <v>42.44362286457887</v>
      </c>
    </row>
    <row r="317" spans="1:10" ht="36">
      <c r="A317" s="62" t="s">
        <v>139</v>
      </c>
      <c r="B317" s="55" t="s">
        <v>792</v>
      </c>
      <c r="C317" s="55" t="s">
        <v>530</v>
      </c>
      <c r="D317" s="55" t="s">
        <v>511</v>
      </c>
      <c r="E317" s="55" t="s">
        <v>1454</v>
      </c>
      <c r="F317" s="153">
        <f>F318</f>
        <v>33080</v>
      </c>
      <c r="G317" s="153">
        <f>G318</f>
        <v>51808.40000000001</v>
      </c>
      <c r="H317" s="153">
        <f>H318</f>
        <v>45722.2</v>
      </c>
      <c r="I317" s="370">
        <f t="shared" si="37"/>
        <v>138.21704957678355</v>
      </c>
      <c r="J317" s="370">
        <f t="shared" si="36"/>
        <v>88.25248415314888</v>
      </c>
    </row>
    <row r="318" spans="1:10" ht="24">
      <c r="A318" s="57" t="s">
        <v>512</v>
      </c>
      <c r="B318" s="55" t="s">
        <v>792</v>
      </c>
      <c r="C318" s="55" t="s">
        <v>530</v>
      </c>
      <c r="D318" s="55" t="s">
        <v>511</v>
      </c>
      <c r="E318" s="55" t="s">
        <v>554</v>
      </c>
      <c r="F318" s="60">
        <v>33080</v>
      </c>
      <c r="G318" s="60">
        <f>31580+1500+97.6+542.5+80+55+456+474.5+365.8+567.8+4335+160+71+214.8+251-365.8-567.8+6708.8+47+35+290.8+290+1287+1400+1000+27.5+161+90.2+332.3+321.4</f>
        <v>51808.40000000001</v>
      </c>
      <c r="H318" s="60">
        <v>45722.2</v>
      </c>
      <c r="I318" s="370">
        <f t="shared" si="37"/>
        <v>138.21704957678355</v>
      </c>
      <c r="J318" s="370">
        <f t="shared" si="36"/>
        <v>88.25248415314888</v>
      </c>
    </row>
    <row r="319" spans="1:10" ht="36">
      <c r="A319" s="57" t="s">
        <v>513</v>
      </c>
      <c r="B319" s="55" t="s">
        <v>792</v>
      </c>
      <c r="C319" s="55" t="s">
        <v>530</v>
      </c>
      <c r="D319" s="55" t="s">
        <v>511</v>
      </c>
      <c r="E319" s="55" t="s">
        <v>554</v>
      </c>
      <c r="F319" s="156">
        <v>0</v>
      </c>
      <c r="G319" s="156">
        <v>97.6</v>
      </c>
      <c r="H319" s="156">
        <v>97.6</v>
      </c>
      <c r="I319" s="370"/>
      <c r="J319" s="370">
        <f t="shared" si="36"/>
        <v>100</v>
      </c>
    </row>
    <row r="320" spans="1:10" ht="24">
      <c r="A320" s="57" t="s">
        <v>514</v>
      </c>
      <c r="B320" s="55" t="s">
        <v>792</v>
      </c>
      <c r="C320" s="55" t="s">
        <v>530</v>
      </c>
      <c r="D320" s="55" t="s">
        <v>511</v>
      </c>
      <c r="E320" s="55" t="s">
        <v>554</v>
      </c>
      <c r="F320" s="156">
        <v>0</v>
      </c>
      <c r="G320" s="156">
        <f>542.5+47+290</f>
        <v>879.5</v>
      </c>
      <c r="H320" s="156">
        <v>876.9</v>
      </c>
      <c r="I320" s="370"/>
      <c r="J320" s="370">
        <f t="shared" si="36"/>
        <v>99.70437748720865</v>
      </c>
    </row>
    <row r="321" spans="1:10" ht="36">
      <c r="A321" s="57" t="s">
        <v>515</v>
      </c>
      <c r="B321" s="55" t="s">
        <v>792</v>
      </c>
      <c r="C321" s="55" t="s">
        <v>530</v>
      </c>
      <c r="D321" s="55" t="s">
        <v>511</v>
      </c>
      <c r="E321" s="55" t="s">
        <v>554</v>
      </c>
      <c r="F321" s="156">
        <v>0</v>
      </c>
      <c r="G321" s="156">
        <v>80</v>
      </c>
      <c r="H321" s="156">
        <v>80</v>
      </c>
      <c r="I321" s="370"/>
      <c r="J321" s="370">
        <f t="shared" si="36"/>
        <v>100</v>
      </c>
    </row>
    <row r="322" spans="1:10" ht="36">
      <c r="A322" s="57" t="s">
        <v>516</v>
      </c>
      <c r="B322" s="55" t="s">
        <v>792</v>
      </c>
      <c r="C322" s="55" t="s">
        <v>530</v>
      </c>
      <c r="D322" s="55" t="s">
        <v>511</v>
      </c>
      <c r="E322" s="55" t="s">
        <v>554</v>
      </c>
      <c r="F322" s="156">
        <v>0</v>
      </c>
      <c r="G322" s="156">
        <v>4335</v>
      </c>
      <c r="H322" s="156">
        <v>3123.8</v>
      </c>
      <c r="I322" s="370"/>
      <c r="J322" s="370">
        <f t="shared" si="36"/>
        <v>72.05997693194925</v>
      </c>
    </row>
    <row r="323" spans="1:10" ht="36">
      <c r="A323" s="57" t="s">
        <v>517</v>
      </c>
      <c r="B323" s="55" t="s">
        <v>792</v>
      </c>
      <c r="C323" s="55" t="s">
        <v>530</v>
      </c>
      <c r="D323" s="55" t="s">
        <v>511</v>
      </c>
      <c r="E323" s="55" t="s">
        <v>554</v>
      </c>
      <c r="F323" s="156">
        <v>0</v>
      </c>
      <c r="G323" s="156">
        <v>160</v>
      </c>
      <c r="H323" s="156">
        <v>148.4</v>
      </c>
      <c r="I323" s="370"/>
      <c r="J323" s="370">
        <f t="shared" si="36"/>
        <v>92.75</v>
      </c>
    </row>
    <row r="324" spans="1:10" ht="59.25" customHeight="1">
      <c r="A324" s="57" t="s">
        <v>1212</v>
      </c>
      <c r="B324" s="55" t="s">
        <v>792</v>
      </c>
      <c r="C324" s="55" t="s">
        <v>530</v>
      </c>
      <c r="D324" s="55" t="s">
        <v>511</v>
      </c>
      <c r="E324" s="55" t="s">
        <v>554</v>
      </c>
      <c r="F324" s="156">
        <v>0</v>
      </c>
      <c r="G324" s="156">
        <v>6708.8</v>
      </c>
      <c r="H324" s="156">
        <v>1900</v>
      </c>
      <c r="I324" s="370"/>
      <c r="J324" s="370">
        <f t="shared" si="36"/>
        <v>28.32101120915812</v>
      </c>
    </row>
    <row r="325" spans="1:10" ht="81" customHeight="1">
      <c r="A325" s="57" t="s">
        <v>1213</v>
      </c>
      <c r="B325" s="55" t="s">
        <v>792</v>
      </c>
      <c r="C325" s="55" t="s">
        <v>530</v>
      </c>
      <c r="D325" s="55" t="s">
        <v>511</v>
      </c>
      <c r="E325" s="55" t="s">
        <v>554</v>
      </c>
      <c r="F325" s="156">
        <v>0</v>
      </c>
      <c r="G325" s="156">
        <v>35</v>
      </c>
      <c r="H325" s="156">
        <v>35</v>
      </c>
      <c r="I325" s="370"/>
      <c r="J325" s="370">
        <f t="shared" si="36"/>
        <v>100</v>
      </c>
    </row>
    <row r="326" spans="1:10" ht="30.75" customHeight="1">
      <c r="A326" s="57" t="s">
        <v>1214</v>
      </c>
      <c r="B326" s="55" t="s">
        <v>792</v>
      </c>
      <c r="C326" s="55" t="s">
        <v>530</v>
      </c>
      <c r="D326" s="55" t="s">
        <v>511</v>
      </c>
      <c r="E326" s="55" t="s">
        <v>554</v>
      </c>
      <c r="F326" s="156">
        <v>0</v>
      </c>
      <c r="G326" s="156">
        <v>290.8</v>
      </c>
      <c r="H326" s="156">
        <v>287.9</v>
      </c>
      <c r="I326" s="370"/>
      <c r="J326" s="370">
        <f t="shared" si="36"/>
        <v>99.00275103163685</v>
      </c>
    </row>
    <row r="327" spans="1:10" ht="44.25" customHeight="1">
      <c r="A327" s="57" t="s">
        <v>1215</v>
      </c>
      <c r="B327" s="55" t="s">
        <v>792</v>
      </c>
      <c r="C327" s="55" t="s">
        <v>530</v>
      </c>
      <c r="D327" s="55" t="s">
        <v>511</v>
      </c>
      <c r="E327" s="55" t="s">
        <v>554</v>
      </c>
      <c r="F327" s="156">
        <v>0</v>
      </c>
      <c r="G327" s="156">
        <v>27.5</v>
      </c>
      <c r="H327" s="156">
        <v>27.5</v>
      </c>
      <c r="I327" s="370"/>
      <c r="J327" s="370">
        <f t="shared" si="36"/>
        <v>100</v>
      </c>
    </row>
    <row r="328" spans="1:10" ht="44.25" customHeight="1">
      <c r="A328" s="57" t="s">
        <v>1216</v>
      </c>
      <c r="B328" s="55" t="s">
        <v>792</v>
      </c>
      <c r="C328" s="55" t="s">
        <v>530</v>
      </c>
      <c r="D328" s="55" t="s">
        <v>511</v>
      </c>
      <c r="E328" s="55" t="s">
        <v>554</v>
      </c>
      <c r="F328" s="156">
        <v>0</v>
      </c>
      <c r="G328" s="156">
        <v>161</v>
      </c>
      <c r="H328" s="156">
        <v>158.7</v>
      </c>
      <c r="I328" s="370"/>
      <c r="J328" s="370">
        <f t="shared" si="36"/>
        <v>98.57142857142857</v>
      </c>
    </row>
    <row r="329" spans="1:10" ht="44.25" customHeight="1">
      <c r="A329" s="57" t="s">
        <v>1217</v>
      </c>
      <c r="B329" s="55" t="s">
        <v>792</v>
      </c>
      <c r="C329" s="55" t="s">
        <v>530</v>
      </c>
      <c r="D329" s="55" t="s">
        <v>511</v>
      </c>
      <c r="E329" s="55" t="s">
        <v>554</v>
      </c>
      <c r="F329" s="156">
        <v>0</v>
      </c>
      <c r="G329" s="156">
        <v>90.2</v>
      </c>
      <c r="H329" s="156">
        <v>90.2</v>
      </c>
      <c r="I329" s="370"/>
      <c r="J329" s="370">
        <f t="shared" si="36"/>
        <v>100</v>
      </c>
    </row>
    <row r="330" spans="1:10" ht="63.75" customHeight="1">
      <c r="A330" s="57" t="s">
        <v>1054</v>
      </c>
      <c r="B330" s="55" t="s">
        <v>792</v>
      </c>
      <c r="C330" s="55" t="s">
        <v>530</v>
      </c>
      <c r="D330" s="55" t="s">
        <v>1055</v>
      </c>
      <c r="E330" s="55" t="s">
        <v>920</v>
      </c>
      <c r="F330" s="153">
        <f>F331</f>
        <v>0</v>
      </c>
      <c r="G330" s="153">
        <f>G331</f>
        <v>3550</v>
      </c>
      <c r="H330" s="153">
        <f>H331</f>
        <v>3046.8</v>
      </c>
      <c r="I330" s="370"/>
      <c r="J330" s="370">
        <f t="shared" si="36"/>
        <v>85.82535211267606</v>
      </c>
    </row>
    <row r="331" spans="1:10" ht="24">
      <c r="A331" s="206" t="s">
        <v>710</v>
      </c>
      <c r="B331" s="55" t="s">
        <v>792</v>
      </c>
      <c r="C331" s="55" t="s">
        <v>530</v>
      </c>
      <c r="D331" s="55" t="s">
        <v>1055</v>
      </c>
      <c r="E331" s="55" t="s">
        <v>1486</v>
      </c>
      <c r="F331" s="156">
        <v>0</v>
      </c>
      <c r="G331" s="156">
        <v>3550</v>
      </c>
      <c r="H331" s="156">
        <v>3046.8</v>
      </c>
      <c r="I331" s="370"/>
      <c r="J331" s="370">
        <f t="shared" si="36"/>
        <v>85.82535211267606</v>
      </c>
    </row>
    <row r="332" spans="1:10" ht="15.75" customHeight="1">
      <c r="A332" s="124" t="s">
        <v>1136</v>
      </c>
      <c r="B332" s="69" t="s">
        <v>417</v>
      </c>
      <c r="C332" s="68"/>
      <c r="D332" s="68"/>
      <c r="E332" s="68"/>
      <c r="F332" s="152">
        <f aca="true" t="shared" si="39" ref="F332:H333">F333</f>
        <v>700</v>
      </c>
      <c r="G332" s="152">
        <f t="shared" si="39"/>
        <v>700</v>
      </c>
      <c r="H332" s="152">
        <f t="shared" si="39"/>
        <v>652.7</v>
      </c>
      <c r="I332" s="370">
        <f t="shared" si="37"/>
        <v>93.24285714285715</v>
      </c>
      <c r="J332" s="370">
        <f t="shared" si="36"/>
        <v>93.24285714285715</v>
      </c>
    </row>
    <row r="333" spans="1:10" ht="24">
      <c r="A333" s="61" t="s">
        <v>1354</v>
      </c>
      <c r="B333" s="55" t="s">
        <v>417</v>
      </c>
      <c r="C333" s="55" t="s">
        <v>530</v>
      </c>
      <c r="D333" s="68"/>
      <c r="E333" s="68"/>
      <c r="F333" s="153">
        <f t="shared" si="39"/>
        <v>700</v>
      </c>
      <c r="G333" s="153">
        <f t="shared" si="39"/>
        <v>700</v>
      </c>
      <c r="H333" s="153">
        <f t="shared" si="39"/>
        <v>652.7</v>
      </c>
      <c r="I333" s="370">
        <f t="shared" si="37"/>
        <v>93.24285714285715</v>
      </c>
      <c r="J333" s="370">
        <f t="shared" si="36"/>
        <v>93.24285714285715</v>
      </c>
    </row>
    <row r="334" spans="1:10" ht="36">
      <c r="A334" s="63" t="s">
        <v>1218</v>
      </c>
      <c r="B334" s="55" t="s">
        <v>417</v>
      </c>
      <c r="C334" s="55" t="s">
        <v>530</v>
      </c>
      <c r="D334" s="55" t="s">
        <v>1219</v>
      </c>
      <c r="E334" s="68"/>
      <c r="F334" s="153">
        <f>F335+F339</f>
        <v>700</v>
      </c>
      <c r="G334" s="153">
        <f>G335+G339</f>
        <v>700</v>
      </c>
      <c r="H334" s="153">
        <f>H335+H339</f>
        <v>652.7</v>
      </c>
      <c r="I334" s="370">
        <f t="shared" si="37"/>
        <v>93.24285714285715</v>
      </c>
      <c r="J334" s="370">
        <f t="shared" si="36"/>
        <v>93.24285714285715</v>
      </c>
    </row>
    <row r="335" spans="1:10" ht="36">
      <c r="A335" s="62" t="s">
        <v>1220</v>
      </c>
      <c r="B335" s="55" t="s">
        <v>417</v>
      </c>
      <c r="C335" s="55" t="s">
        <v>530</v>
      </c>
      <c r="D335" s="55" t="s">
        <v>1221</v>
      </c>
      <c r="E335" s="68"/>
      <c r="F335" s="153">
        <f aca="true" t="shared" si="40" ref="F335:H337">F336</f>
        <v>500</v>
      </c>
      <c r="G335" s="153">
        <f t="shared" si="40"/>
        <v>500</v>
      </c>
      <c r="H335" s="153">
        <f t="shared" si="40"/>
        <v>473</v>
      </c>
      <c r="I335" s="370">
        <f t="shared" si="37"/>
        <v>94.6</v>
      </c>
      <c r="J335" s="370">
        <f t="shared" si="36"/>
        <v>94.6</v>
      </c>
    </row>
    <row r="336" spans="1:10" ht="24">
      <c r="A336" s="57" t="s">
        <v>1137</v>
      </c>
      <c r="B336" s="55" t="s">
        <v>417</v>
      </c>
      <c r="C336" s="55" t="s">
        <v>530</v>
      </c>
      <c r="D336" s="55" t="s">
        <v>1222</v>
      </c>
      <c r="E336" s="68" t="s">
        <v>920</v>
      </c>
      <c r="F336" s="153">
        <f t="shared" si="40"/>
        <v>500</v>
      </c>
      <c r="G336" s="153">
        <f t="shared" si="40"/>
        <v>500</v>
      </c>
      <c r="H336" s="153">
        <f t="shared" si="40"/>
        <v>473</v>
      </c>
      <c r="I336" s="370">
        <f t="shared" si="37"/>
        <v>94.6</v>
      </c>
      <c r="J336" s="370">
        <f t="shared" si="36"/>
        <v>94.6</v>
      </c>
    </row>
    <row r="337" spans="1:10" ht="24">
      <c r="A337" s="206" t="s">
        <v>68</v>
      </c>
      <c r="B337" s="55" t="s">
        <v>417</v>
      </c>
      <c r="C337" s="55" t="s">
        <v>530</v>
      </c>
      <c r="D337" s="55" t="s">
        <v>1222</v>
      </c>
      <c r="E337" s="55" t="s">
        <v>528</v>
      </c>
      <c r="F337" s="153">
        <f t="shared" si="40"/>
        <v>500</v>
      </c>
      <c r="G337" s="153">
        <f t="shared" si="40"/>
        <v>500</v>
      </c>
      <c r="H337" s="153">
        <f t="shared" si="40"/>
        <v>473</v>
      </c>
      <c r="I337" s="370">
        <f t="shared" si="37"/>
        <v>94.6</v>
      </c>
      <c r="J337" s="370">
        <f t="shared" si="36"/>
        <v>94.6</v>
      </c>
    </row>
    <row r="338" spans="1:10" ht="24">
      <c r="A338" s="206" t="s">
        <v>710</v>
      </c>
      <c r="B338" s="55" t="s">
        <v>417</v>
      </c>
      <c r="C338" s="55" t="s">
        <v>530</v>
      </c>
      <c r="D338" s="55" t="s">
        <v>1222</v>
      </c>
      <c r="E338" s="55" t="s">
        <v>1486</v>
      </c>
      <c r="F338" s="60">
        <v>500</v>
      </c>
      <c r="G338" s="60">
        <v>500</v>
      </c>
      <c r="H338" s="60">
        <v>473</v>
      </c>
      <c r="I338" s="370">
        <f t="shared" si="37"/>
        <v>94.6</v>
      </c>
      <c r="J338" s="370">
        <f t="shared" si="36"/>
        <v>94.6</v>
      </c>
    </row>
    <row r="339" spans="1:10" ht="36">
      <c r="A339" s="62" t="s">
        <v>1223</v>
      </c>
      <c r="B339" s="55" t="s">
        <v>417</v>
      </c>
      <c r="C339" s="55" t="s">
        <v>530</v>
      </c>
      <c r="D339" s="55" t="s">
        <v>1224</v>
      </c>
      <c r="E339" s="68"/>
      <c r="F339" s="153">
        <f aca="true" t="shared" si="41" ref="F339:H341">F340</f>
        <v>200</v>
      </c>
      <c r="G339" s="153">
        <f t="shared" si="41"/>
        <v>200</v>
      </c>
      <c r="H339" s="153">
        <f t="shared" si="41"/>
        <v>179.7</v>
      </c>
      <c r="I339" s="370">
        <f t="shared" si="37"/>
        <v>89.85</v>
      </c>
      <c r="J339" s="370">
        <f t="shared" si="36"/>
        <v>89.85</v>
      </c>
    </row>
    <row r="340" spans="1:10" ht="24">
      <c r="A340" s="57" t="s">
        <v>1225</v>
      </c>
      <c r="B340" s="68" t="s">
        <v>417</v>
      </c>
      <c r="C340" s="68" t="s">
        <v>530</v>
      </c>
      <c r="D340" s="55" t="s">
        <v>1226</v>
      </c>
      <c r="E340" s="68" t="s">
        <v>920</v>
      </c>
      <c r="F340" s="153">
        <f t="shared" si="41"/>
        <v>200</v>
      </c>
      <c r="G340" s="153">
        <f t="shared" si="41"/>
        <v>200</v>
      </c>
      <c r="H340" s="153">
        <f t="shared" si="41"/>
        <v>179.7</v>
      </c>
      <c r="I340" s="370">
        <f t="shared" si="37"/>
        <v>89.85</v>
      </c>
      <c r="J340" s="370">
        <f t="shared" si="36"/>
        <v>89.85</v>
      </c>
    </row>
    <row r="341" spans="1:10" ht="24">
      <c r="A341" s="206" t="s">
        <v>793</v>
      </c>
      <c r="B341" s="55" t="s">
        <v>417</v>
      </c>
      <c r="C341" s="55" t="s">
        <v>530</v>
      </c>
      <c r="D341" s="55" t="s">
        <v>1226</v>
      </c>
      <c r="E341" s="55" t="s">
        <v>794</v>
      </c>
      <c r="F341" s="153">
        <f t="shared" si="41"/>
        <v>200</v>
      </c>
      <c r="G341" s="153">
        <f t="shared" si="41"/>
        <v>200</v>
      </c>
      <c r="H341" s="153">
        <f t="shared" si="41"/>
        <v>179.7</v>
      </c>
      <c r="I341" s="370">
        <f t="shared" si="37"/>
        <v>89.85</v>
      </c>
      <c r="J341" s="370">
        <f t="shared" si="36"/>
        <v>89.85</v>
      </c>
    </row>
    <row r="342" spans="1:10" ht="24">
      <c r="A342" s="57" t="s">
        <v>810</v>
      </c>
      <c r="B342" s="55" t="s">
        <v>417</v>
      </c>
      <c r="C342" s="55" t="s">
        <v>530</v>
      </c>
      <c r="D342" s="55" t="s">
        <v>1226</v>
      </c>
      <c r="E342" s="55" t="s">
        <v>811</v>
      </c>
      <c r="F342" s="60">
        <v>200</v>
      </c>
      <c r="G342" s="60">
        <v>200</v>
      </c>
      <c r="H342" s="60">
        <v>179.7</v>
      </c>
      <c r="I342" s="370">
        <f t="shared" si="37"/>
        <v>89.85</v>
      </c>
      <c r="J342" s="370">
        <f t="shared" si="36"/>
        <v>89.85</v>
      </c>
    </row>
    <row r="343" spans="1:10" ht="15" customHeight="1">
      <c r="A343" s="124" t="s">
        <v>1138</v>
      </c>
      <c r="B343" s="69" t="s">
        <v>418</v>
      </c>
      <c r="C343" s="70"/>
      <c r="D343" s="70"/>
      <c r="E343" s="70"/>
      <c r="F343" s="152">
        <f>F344+F373+F514+F521+F547</f>
        <v>2134810.9</v>
      </c>
      <c r="G343" s="152">
        <f>G344+G373+G514+G521+G547</f>
        <v>2302209.5000000005</v>
      </c>
      <c r="H343" s="152">
        <f>H344+H373+H514+H521+H547</f>
        <v>2262405.5</v>
      </c>
      <c r="I343" s="370">
        <f t="shared" si="37"/>
        <v>105.97685724763726</v>
      </c>
      <c r="J343" s="370">
        <f t="shared" si="36"/>
        <v>98.27105222178952</v>
      </c>
    </row>
    <row r="344" spans="1:10" ht="15.75">
      <c r="A344" s="61" t="s">
        <v>1086</v>
      </c>
      <c r="B344" s="55" t="s">
        <v>418</v>
      </c>
      <c r="C344" s="55" t="s">
        <v>1105</v>
      </c>
      <c r="D344" s="59"/>
      <c r="E344" s="59"/>
      <c r="F344" s="153">
        <f>F345</f>
        <v>698244</v>
      </c>
      <c r="G344" s="153">
        <f>G345</f>
        <v>731795.1000000001</v>
      </c>
      <c r="H344" s="153">
        <f>H345</f>
        <v>719088.8999999999</v>
      </c>
      <c r="I344" s="370">
        <f t="shared" si="37"/>
        <v>102.98533177513876</v>
      </c>
      <c r="J344" s="370">
        <f t="shared" si="36"/>
        <v>98.26369430459425</v>
      </c>
    </row>
    <row r="345" spans="1:10" ht="24">
      <c r="A345" s="56" t="s">
        <v>1227</v>
      </c>
      <c r="B345" s="55" t="s">
        <v>418</v>
      </c>
      <c r="C345" s="55" t="s">
        <v>1105</v>
      </c>
      <c r="D345" s="55" t="s">
        <v>1228</v>
      </c>
      <c r="E345" s="59"/>
      <c r="F345" s="153">
        <f>F346+F351+F357+F354</f>
        <v>698244</v>
      </c>
      <c r="G345" s="153">
        <f>G346+G351+G357+G354</f>
        <v>731795.1000000001</v>
      </c>
      <c r="H345" s="153">
        <f>H346+H351+H357+H354</f>
        <v>719088.8999999999</v>
      </c>
      <c r="I345" s="370">
        <f t="shared" si="37"/>
        <v>102.98533177513876</v>
      </c>
      <c r="J345" s="370">
        <f t="shared" si="36"/>
        <v>98.26369430459425</v>
      </c>
    </row>
    <row r="346" spans="1:10" ht="48">
      <c r="A346" s="57" t="s">
        <v>1229</v>
      </c>
      <c r="B346" s="55" t="s">
        <v>418</v>
      </c>
      <c r="C346" s="55" t="s">
        <v>1105</v>
      </c>
      <c r="D346" s="55" t="s">
        <v>1230</v>
      </c>
      <c r="E346" s="55"/>
      <c r="F346" s="153">
        <f aca="true" t="shared" si="42" ref="F346:H347">F347</f>
        <v>392989</v>
      </c>
      <c r="G346" s="153">
        <f t="shared" si="42"/>
        <v>403940</v>
      </c>
      <c r="H346" s="153">
        <f t="shared" si="42"/>
        <v>401451</v>
      </c>
      <c r="I346" s="370">
        <f t="shared" si="37"/>
        <v>102.15324093040772</v>
      </c>
      <c r="J346" s="370">
        <f t="shared" si="36"/>
        <v>99.3838193791157</v>
      </c>
    </row>
    <row r="347" spans="1:10" ht="128.25" customHeight="1">
      <c r="A347" s="378" t="s">
        <v>1231</v>
      </c>
      <c r="B347" s="55" t="s">
        <v>418</v>
      </c>
      <c r="C347" s="55" t="s">
        <v>1105</v>
      </c>
      <c r="D347" s="55" t="s">
        <v>1230</v>
      </c>
      <c r="E347" s="55" t="s">
        <v>920</v>
      </c>
      <c r="F347" s="153">
        <f t="shared" si="42"/>
        <v>392989</v>
      </c>
      <c r="G347" s="153">
        <f t="shared" si="42"/>
        <v>403940</v>
      </c>
      <c r="H347" s="153">
        <f t="shared" si="42"/>
        <v>401451</v>
      </c>
      <c r="I347" s="370">
        <f t="shared" si="37"/>
        <v>102.15324093040772</v>
      </c>
      <c r="J347" s="370">
        <f t="shared" si="36"/>
        <v>99.3838193791157</v>
      </c>
    </row>
    <row r="348" spans="1:10" ht="26.25" customHeight="1">
      <c r="A348" s="62" t="s">
        <v>139</v>
      </c>
      <c r="B348" s="55" t="s">
        <v>418</v>
      </c>
      <c r="C348" s="55" t="s">
        <v>1105</v>
      </c>
      <c r="D348" s="55" t="s">
        <v>1230</v>
      </c>
      <c r="E348" s="55" t="s">
        <v>1454</v>
      </c>
      <c r="F348" s="153">
        <f>F349+F350</f>
        <v>392989</v>
      </c>
      <c r="G348" s="153">
        <f>G349+G350</f>
        <v>403940</v>
      </c>
      <c r="H348" s="153">
        <f>H349+H350</f>
        <v>401451</v>
      </c>
      <c r="I348" s="370">
        <f t="shared" si="37"/>
        <v>102.15324093040772</v>
      </c>
      <c r="J348" s="370">
        <f t="shared" si="36"/>
        <v>99.3838193791157</v>
      </c>
    </row>
    <row r="349" spans="1:10" ht="24">
      <c r="A349" s="57" t="s">
        <v>553</v>
      </c>
      <c r="B349" s="55" t="s">
        <v>418</v>
      </c>
      <c r="C349" s="55" t="s">
        <v>1105</v>
      </c>
      <c r="D349" s="55" t="s">
        <v>1230</v>
      </c>
      <c r="E349" s="55" t="s">
        <v>554</v>
      </c>
      <c r="F349" s="60">
        <v>23482</v>
      </c>
      <c r="G349" s="60">
        <v>23482</v>
      </c>
      <c r="H349" s="60">
        <v>22817.9</v>
      </c>
      <c r="I349" s="370">
        <f t="shared" si="37"/>
        <v>97.17187633080658</v>
      </c>
      <c r="J349" s="370">
        <f t="shared" si="36"/>
        <v>97.17187633080658</v>
      </c>
    </row>
    <row r="350" spans="1:10" ht="24">
      <c r="A350" s="57" t="s">
        <v>447</v>
      </c>
      <c r="B350" s="55" t="s">
        <v>418</v>
      </c>
      <c r="C350" s="55" t="s">
        <v>1105</v>
      </c>
      <c r="D350" s="55" t="s">
        <v>1230</v>
      </c>
      <c r="E350" s="55" t="s">
        <v>446</v>
      </c>
      <c r="F350" s="60">
        <f>369507</f>
        <v>369507</v>
      </c>
      <c r="G350" s="60">
        <f>369507+10240+541-194+364</f>
        <v>380458</v>
      </c>
      <c r="H350" s="60">
        <v>378633.1</v>
      </c>
      <c r="I350" s="370">
        <f t="shared" si="37"/>
        <v>102.46980436094579</v>
      </c>
      <c r="J350" s="370">
        <f t="shared" si="36"/>
        <v>99.52034127288688</v>
      </c>
    </row>
    <row r="351" spans="1:10" ht="96">
      <c r="A351" s="379" t="s">
        <v>260</v>
      </c>
      <c r="B351" s="55" t="s">
        <v>418</v>
      </c>
      <c r="C351" s="55" t="s">
        <v>1105</v>
      </c>
      <c r="D351" s="55" t="s">
        <v>261</v>
      </c>
      <c r="E351" s="55" t="s">
        <v>920</v>
      </c>
      <c r="F351" s="153">
        <f>F353</f>
        <v>4089</v>
      </c>
      <c r="G351" s="153">
        <f>G353</f>
        <v>4645</v>
      </c>
      <c r="H351" s="153">
        <f>H353</f>
        <v>2130</v>
      </c>
      <c r="I351" s="370">
        <f>H351/F351*100</f>
        <v>52.0909757887014</v>
      </c>
      <c r="J351" s="370">
        <f aca="true" t="shared" si="43" ref="J351:J406">H351/G351*100</f>
        <v>45.85575888051668</v>
      </c>
    </row>
    <row r="352" spans="1:10" ht="36">
      <c r="A352" s="62" t="s">
        <v>139</v>
      </c>
      <c r="B352" s="55" t="s">
        <v>418</v>
      </c>
      <c r="C352" s="55" t="s">
        <v>1105</v>
      </c>
      <c r="D352" s="55" t="s">
        <v>261</v>
      </c>
      <c r="E352" s="55" t="s">
        <v>1454</v>
      </c>
      <c r="F352" s="153">
        <f>F353</f>
        <v>4089</v>
      </c>
      <c r="G352" s="153">
        <f>G353</f>
        <v>4645</v>
      </c>
      <c r="H352" s="153">
        <f>H353</f>
        <v>2130</v>
      </c>
      <c r="I352" s="370">
        <f>H352/F352*100</f>
        <v>52.0909757887014</v>
      </c>
      <c r="J352" s="370">
        <f t="shared" si="43"/>
        <v>45.85575888051668</v>
      </c>
    </row>
    <row r="353" spans="1:10" ht="45" customHeight="1">
      <c r="A353" s="380" t="s">
        <v>262</v>
      </c>
      <c r="B353" s="55" t="s">
        <v>418</v>
      </c>
      <c r="C353" s="55" t="s">
        <v>1105</v>
      </c>
      <c r="D353" s="55" t="s">
        <v>261</v>
      </c>
      <c r="E353" s="55" t="s">
        <v>404</v>
      </c>
      <c r="F353" s="60">
        <f>4089</f>
        <v>4089</v>
      </c>
      <c r="G353" s="60">
        <f>4089+108-1656-411+2515</f>
        <v>4645</v>
      </c>
      <c r="H353" s="60">
        <v>2130</v>
      </c>
      <c r="I353" s="370">
        <f>H353/F353*100</f>
        <v>52.0909757887014</v>
      </c>
      <c r="J353" s="370">
        <f t="shared" si="43"/>
        <v>45.85575888051668</v>
      </c>
    </row>
    <row r="354" spans="1:10" ht="105.75" customHeight="1">
      <c r="A354" s="380" t="s">
        <v>263</v>
      </c>
      <c r="B354" s="55" t="s">
        <v>418</v>
      </c>
      <c r="C354" s="55" t="s">
        <v>1105</v>
      </c>
      <c r="D354" s="55" t="s">
        <v>264</v>
      </c>
      <c r="E354" s="55" t="s">
        <v>920</v>
      </c>
      <c r="F354" s="153">
        <f aca="true" t="shared" si="44" ref="F354:H355">F355</f>
        <v>0</v>
      </c>
      <c r="G354" s="153">
        <f t="shared" si="44"/>
        <v>500</v>
      </c>
      <c r="H354" s="153">
        <f t="shared" si="44"/>
        <v>500</v>
      </c>
      <c r="I354" s="370"/>
      <c r="J354" s="370">
        <f t="shared" si="43"/>
        <v>100</v>
      </c>
    </row>
    <row r="355" spans="1:10" ht="36">
      <c r="A355" s="62" t="s">
        <v>139</v>
      </c>
      <c r="B355" s="55" t="s">
        <v>418</v>
      </c>
      <c r="C355" s="55" t="s">
        <v>1105</v>
      </c>
      <c r="D355" s="55" t="s">
        <v>264</v>
      </c>
      <c r="E355" s="55" t="s">
        <v>1454</v>
      </c>
      <c r="F355" s="153">
        <f t="shared" si="44"/>
        <v>0</v>
      </c>
      <c r="G355" s="153">
        <f t="shared" si="44"/>
        <v>500</v>
      </c>
      <c r="H355" s="153">
        <f t="shared" si="44"/>
        <v>500</v>
      </c>
      <c r="I355" s="370"/>
      <c r="J355" s="370">
        <f t="shared" si="43"/>
        <v>100</v>
      </c>
    </row>
    <row r="356" spans="1:10" ht="24">
      <c r="A356" s="57" t="s">
        <v>1289</v>
      </c>
      <c r="B356" s="55" t="s">
        <v>418</v>
      </c>
      <c r="C356" s="55" t="s">
        <v>1105</v>
      </c>
      <c r="D356" s="55" t="s">
        <v>264</v>
      </c>
      <c r="E356" s="55" t="s">
        <v>446</v>
      </c>
      <c r="F356" s="60">
        <v>0</v>
      </c>
      <c r="G356" s="60">
        <v>500</v>
      </c>
      <c r="H356" s="60">
        <v>500</v>
      </c>
      <c r="I356" s="370"/>
      <c r="J356" s="370">
        <f t="shared" si="43"/>
        <v>100</v>
      </c>
    </row>
    <row r="357" spans="1:10" ht="24">
      <c r="A357" s="56" t="s">
        <v>1227</v>
      </c>
      <c r="B357" s="55" t="s">
        <v>418</v>
      </c>
      <c r="C357" s="55" t="s">
        <v>1105</v>
      </c>
      <c r="D357" s="55" t="s">
        <v>1228</v>
      </c>
      <c r="E357" s="59"/>
      <c r="F357" s="153">
        <f>F358+F364</f>
        <v>301166</v>
      </c>
      <c r="G357" s="153">
        <f>G358+G364</f>
        <v>322710.10000000003</v>
      </c>
      <c r="H357" s="153">
        <f>H358+H364</f>
        <v>315007.89999999997</v>
      </c>
      <c r="I357" s="370">
        <f>H357/F357*100</f>
        <v>104.59610314577341</v>
      </c>
      <c r="J357" s="370">
        <f t="shared" si="43"/>
        <v>97.61327581628214</v>
      </c>
    </row>
    <row r="358" spans="1:10" ht="48">
      <c r="A358" s="57" t="s">
        <v>1229</v>
      </c>
      <c r="B358" s="55" t="s">
        <v>418</v>
      </c>
      <c r="C358" s="55" t="s">
        <v>1105</v>
      </c>
      <c r="D358" s="55" t="s">
        <v>265</v>
      </c>
      <c r="E358" s="55" t="s">
        <v>920</v>
      </c>
      <c r="F358" s="153">
        <f>F359</f>
        <v>301166</v>
      </c>
      <c r="G358" s="153">
        <f>G359</f>
        <v>299151.4</v>
      </c>
      <c r="H358" s="153">
        <f>H359</f>
        <v>291671.3</v>
      </c>
      <c r="I358" s="370">
        <f>H358/F358*100</f>
        <v>96.84735328689162</v>
      </c>
      <c r="J358" s="370">
        <f t="shared" si="43"/>
        <v>97.49956042325056</v>
      </c>
    </row>
    <row r="359" spans="1:10" ht="36">
      <c r="A359" s="62" t="s">
        <v>139</v>
      </c>
      <c r="B359" s="55" t="s">
        <v>418</v>
      </c>
      <c r="C359" s="55" t="s">
        <v>1105</v>
      </c>
      <c r="D359" s="55" t="s">
        <v>266</v>
      </c>
      <c r="E359" s="55" t="s">
        <v>1454</v>
      </c>
      <c r="F359" s="153">
        <f>F360+F361</f>
        <v>301166</v>
      </c>
      <c r="G359" s="153">
        <f>G360+G361</f>
        <v>299151.4</v>
      </c>
      <c r="H359" s="153">
        <f>H360+H361</f>
        <v>291671.3</v>
      </c>
      <c r="I359" s="370">
        <f>H359/F359*100</f>
        <v>96.84735328689162</v>
      </c>
      <c r="J359" s="370">
        <f t="shared" si="43"/>
        <v>97.49956042325056</v>
      </c>
    </row>
    <row r="360" spans="1:10" ht="24">
      <c r="A360" s="57" t="s">
        <v>553</v>
      </c>
      <c r="B360" s="55" t="s">
        <v>418</v>
      </c>
      <c r="C360" s="55" t="s">
        <v>1105</v>
      </c>
      <c r="D360" s="55" t="s">
        <v>266</v>
      </c>
      <c r="E360" s="55" t="s">
        <v>554</v>
      </c>
      <c r="F360" s="60">
        <f>25352</f>
        <v>25352</v>
      </c>
      <c r="G360" s="60">
        <f>25352+750-2404</f>
        <v>23698</v>
      </c>
      <c r="H360" s="60">
        <v>22006.2</v>
      </c>
      <c r="I360" s="370">
        <f>H360/F360*100</f>
        <v>86.80261912275165</v>
      </c>
      <c r="J360" s="370">
        <f t="shared" si="43"/>
        <v>92.86100092834839</v>
      </c>
    </row>
    <row r="361" spans="1:10" ht="24">
      <c r="A361" s="57" t="s">
        <v>267</v>
      </c>
      <c r="B361" s="53" t="s">
        <v>418</v>
      </c>
      <c r="C361" s="53" t="s">
        <v>1105</v>
      </c>
      <c r="D361" s="55" t="s">
        <v>266</v>
      </c>
      <c r="E361" s="53" t="s">
        <v>446</v>
      </c>
      <c r="F361" s="60">
        <f>275814</f>
        <v>275814</v>
      </c>
      <c r="G361" s="60">
        <f>275814-250+10000-10000-110.6</f>
        <v>275453.4</v>
      </c>
      <c r="H361" s="60">
        <v>269665.1</v>
      </c>
      <c r="I361" s="370">
        <f>H361/F361*100</f>
        <v>97.77063528319809</v>
      </c>
      <c r="J361" s="370">
        <f t="shared" si="43"/>
        <v>97.89862822531867</v>
      </c>
    </row>
    <row r="362" spans="1:10" ht="96">
      <c r="A362" s="62" t="s">
        <v>268</v>
      </c>
      <c r="B362" s="53" t="s">
        <v>418</v>
      </c>
      <c r="C362" s="53" t="s">
        <v>1105</v>
      </c>
      <c r="D362" s="55" t="s">
        <v>266</v>
      </c>
      <c r="E362" s="53" t="s">
        <v>446</v>
      </c>
      <c r="F362" s="60">
        <v>0</v>
      </c>
      <c r="G362" s="60">
        <v>55.6</v>
      </c>
      <c r="H362" s="60">
        <v>55.6</v>
      </c>
      <c r="I362" s="370"/>
      <c r="J362" s="370">
        <f t="shared" si="43"/>
        <v>100</v>
      </c>
    </row>
    <row r="363" spans="1:10" ht="36">
      <c r="A363" s="62" t="s">
        <v>1243</v>
      </c>
      <c r="B363" s="53" t="s">
        <v>418</v>
      </c>
      <c r="C363" s="53" t="s">
        <v>1105</v>
      </c>
      <c r="D363" s="55" t="s">
        <v>266</v>
      </c>
      <c r="E363" s="53" t="s">
        <v>446</v>
      </c>
      <c r="F363" s="60">
        <v>0</v>
      </c>
      <c r="G363" s="60">
        <v>2561.6</v>
      </c>
      <c r="H363" s="60">
        <v>2559.6</v>
      </c>
      <c r="I363" s="370"/>
      <c r="J363" s="370">
        <f t="shared" si="43"/>
        <v>99.92192379762649</v>
      </c>
    </row>
    <row r="364" spans="1:10" ht="36">
      <c r="A364" s="57" t="s">
        <v>1244</v>
      </c>
      <c r="B364" s="53" t="s">
        <v>418</v>
      </c>
      <c r="C364" s="53" t="s">
        <v>1105</v>
      </c>
      <c r="D364" s="53" t="s">
        <v>1245</v>
      </c>
      <c r="E364" s="53"/>
      <c r="F364" s="153">
        <f>F365+F368</f>
        <v>0</v>
      </c>
      <c r="G364" s="153">
        <f>G365+G368</f>
        <v>23558.7</v>
      </c>
      <c r="H364" s="153">
        <f>H365+H368</f>
        <v>23336.6</v>
      </c>
      <c r="I364" s="370"/>
      <c r="J364" s="370">
        <f t="shared" si="43"/>
        <v>99.05724848994214</v>
      </c>
    </row>
    <row r="365" spans="1:10" ht="36">
      <c r="A365" s="62" t="s">
        <v>154</v>
      </c>
      <c r="B365" s="53" t="s">
        <v>418</v>
      </c>
      <c r="C365" s="53" t="s">
        <v>1105</v>
      </c>
      <c r="D365" s="53" t="s">
        <v>1246</v>
      </c>
      <c r="E365" s="53" t="s">
        <v>552</v>
      </c>
      <c r="F365" s="153">
        <f aca="true" t="shared" si="45" ref="F365:H366">F366</f>
        <v>0</v>
      </c>
      <c r="G365" s="153">
        <f t="shared" si="45"/>
        <v>2494.7</v>
      </c>
      <c r="H365" s="153">
        <f t="shared" si="45"/>
        <v>2346.1</v>
      </c>
      <c r="I365" s="370"/>
      <c r="J365" s="370">
        <f t="shared" si="43"/>
        <v>94.04337194853089</v>
      </c>
    </row>
    <row r="366" spans="1:10" ht="48">
      <c r="A366" s="62" t="s">
        <v>278</v>
      </c>
      <c r="B366" s="53" t="s">
        <v>418</v>
      </c>
      <c r="C366" s="53" t="s">
        <v>1105</v>
      </c>
      <c r="D366" s="53" t="s">
        <v>1246</v>
      </c>
      <c r="E366" s="53" t="s">
        <v>155</v>
      </c>
      <c r="F366" s="153">
        <f t="shared" si="45"/>
        <v>0</v>
      </c>
      <c r="G366" s="153">
        <f t="shared" si="45"/>
        <v>2494.7</v>
      </c>
      <c r="H366" s="153">
        <f t="shared" si="45"/>
        <v>2346.1</v>
      </c>
      <c r="I366" s="370"/>
      <c r="J366" s="370">
        <f t="shared" si="43"/>
        <v>94.04337194853089</v>
      </c>
    </row>
    <row r="367" spans="1:10" ht="72">
      <c r="A367" s="57" t="s">
        <v>1247</v>
      </c>
      <c r="B367" s="53" t="s">
        <v>418</v>
      </c>
      <c r="C367" s="53" t="s">
        <v>1105</v>
      </c>
      <c r="D367" s="53" t="s">
        <v>1246</v>
      </c>
      <c r="E367" s="53" t="s">
        <v>155</v>
      </c>
      <c r="F367" s="60">
        <v>0</v>
      </c>
      <c r="G367" s="60">
        <v>2494.7</v>
      </c>
      <c r="H367" s="60">
        <v>2346.1</v>
      </c>
      <c r="I367" s="370"/>
      <c r="J367" s="370">
        <f t="shared" si="43"/>
        <v>94.04337194853089</v>
      </c>
    </row>
    <row r="368" spans="1:10" ht="36">
      <c r="A368" s="62" t="s">
        <v>139</v>
      </c>
      <c r="B368" s="53" t="s">
        <v>418</v>
      </c>
      <c r="C368" s="53" t="s">
        <v>1105</v>
      </c>
      <c r="D368" s="53" t="s">
        <v>1246</v>
      </c>
      <c r="E368" s="53" t="s">
        <v>1454</v>
      </c>
      <c r="F368" s="153">
        <f>F369+F371</f>
        <v>0</v>
      </c>
      <c r="G368" s="153">
        <f>G369+G371</f>
        <v>21064</v>
      </c>
      <c r="H368" s="153">
        <f>H369+H371</f>
        <v>20990.5</v>
      </c>
      <c r="I368" s="370"/>
      <c r="J368" s="370">
        <f t="shared" si="43"/>
        <v>99.6510634257501</v>
      </c>
    </row>
    <row r="369" spans="1:10" ht="24">
      <c r="A369" s="57" t="s">
        <v>141</v>
      </c>
      <c r="B369" s="53" t="s">
        <v>418</v>
      </c>
      <c r="C369" s="53" t="s">
        <v>1105</v>
      </c>
      <c r="D369" s="53" t="s">
        <v>1246</v>
      </c>
      <c r="E369" s="53" t="s">
        <v>554</v>
      </c>
      <c r="F369" s="153">
        <f>F370</f>
        <v>0</v>
      </c>
      <c r="G369" s="153">
        <f>G370</f>
        <v>4000</v>
      </c>
      <c r="H369" s="153">
        <f>H370</f>
        <v>3958.9</v>
      </c>
      <c r="I369" s="370"/>
      <c r="J369" s="370">
        <f t="shared" si="43"/>
        <v>98.97250000000001</v>
      </c>
    </row>
    <row r="370" spans="1:10" ht="48">
      <c r="A370" s="57" t="s">
        <v>1248</v>
      </c>
      <c r="B370" s="53" t="s">
        <v>418</v>
      </c>
      <c r="C370" s="53" t="s">
        <v>1105</v>
      </c>
      <c r="D370" s="53" t="s">
        <v>1246</v>
      </c>
      <c r="E370" s="53" t="s">
        <v>554</v>
      </c>
      <c r="F370" s="60">
        <v>0</v>
      </c>
      <c r="G370" s="60">
        <f>3400+430+170</f>
        <v>4000</v>
      </c>
      <c r="H370" s="60">
        <v>3958.9</v>
      </c>
      <c r="I370" s="370"/>
      <c r="J370" s="370">
        <f t="shared" si="43"/>
        <v>98.97250000000001</v>
      </c>
    </row>
    <row r="371" spans="1:10" ht="24">
      <c r="A371" s="57" t="s">
        <v>267</v>
      </c>
      <c r="B371" s="53" t="s">
        <v>418</v>
      </c>
      <c r="C371" s="53" t="s">
        <v>1105</v>
      </c>
      <c r="D371" s="53" t="s">
        <v>1246</v>
      </c>
      <c r="E371" s="53" t="s">
        <v>446</v>
      </c>
      <c r="F371" s="153">
        <f>F372</f>
        <v>0</v>
      </c>
      <c r="G371" s="153">
        <f>G372</f>
        <v>17064</v>
      </c>
      <c r="H371" s="153">
        <f>H372</f>
        <v>17031.6</v>
      </c>
      <c r="I371" s="370"/>
      <c r="J371" s="370">
        <f t="shared" si="43"/>
        <v>99.81012658227847</v>
      </c>
    </row>
    <row r="372" spans="1:10" ht="96">
      <c r="A372" s="57" t="s">
        <v>1249</v>
      </c>
      <c r="B372" s="53" t="s">
        <v>418</v>
      </c>
      <c r="C372" s="53" t="s">
        <v>1105</v>
      </c>
      <c r="D372" s="53" t="s">
        <v>1246</v>
      </c>
      <c r="E372" s="53" t="s">
        <v>446</v>
      </c>
      <c r="F372" s="60">
        <v>0</v>
      </c>
      <c r="G372" s="60">
        <f>500+84+8420.4+1579.6+450+1830+4200</f>
        <v>17064</v>
      </c>
      <c r="H372" s="60">
        <v>17031.6</v>
      </c>
      <c r="I372" s="370"/>
      <c r="J372" s="370">
        <f t="shared" si="43"/>
        <v>99.81012658227847</v>
      </c>
    </row>
    <row r="373" spans="1:10" ht="15.75">
      <c r="A373" s="381" t="s">
        <v>1087</v>
      </c>
      <c r="B373" s="55" t="s">
        <v>418</v>
      </c>
      <c r="C373" s="55" t="s">
        <v>1106</v>
      </c>
      <c r="D373" s="235"/>
      <c r="E373" s="55"/>
      <c r="F373" s="153">
        <f>F374+F385+F510</f>
        <v>1254111</v>
      </c>
      <c r="G373" s="153">
        <f>G374+G385+G510</f>
        <v>1398468.7000000002</v>
      </c>
      <c r="H373" s="153">
        <f>H374+H385+H510</f>
        <v>1377665.9</v>
      </c>
      <c r="I373" s="370">
        <f>H373/F373*100</f>
        <v>109.85199077274659</v>
      </c>
      <c r="J373" s="370">
        <f t="shared" si="43"/>
        <v>98.51245866282167</v>
      </c>
    </row>
    <row r="374" spans="1:10" ht="24">
      <c r="A374" s="382" t="s">
        <v>1250</v>
      </c>
      <c r="B374" s="235" t="s">
        <v>418</v>
      </c>
      <c r="C374" s="55" t="s">
        <v>1106</v>
      </c>
      <c r="D374" s="235" t="s">
        <v>1251</v>
      </c>
      <c r="E374" s="55"/>
      <c r="F374" s="153">
        <f>F375+F381</f>
        <v>92892</v>
      </c>
      <c r="G374" s="153">
        <f>G375+G381</f>
        <v>102847</v>
      </c>
      <c r="H374" s="153">
        <f>H375+H381</f>
        <v>102594.7</v>
      </c>
      <c r="I374" s="370">
        <f>H374/F374*100</f>
        <v>110.44514059337725</v>
      </c>
      <c r="J374" s="370">
        <f t="shared" si="43"/>
        <v>99.75468414246404</v>
      </c>
    </row>
    <row r="375" spans="1:10" ht="36">
      <c r="A375" s="209" t="s">
        <v>1252</v>
      </c>
      <c r="B375" s="235" t="s">
        <v>418</v>
      </c>
      <c r="C375" s="55" t="s">
        <v>1106</v>
      </c>
      <c r="D375" s="235" t="s">
        <v>1253</v>
      </c>
      <c r="E375" s="55"/>
      <c r="F375" s="153">
        <f>F376+F380</f>
        <v>92892</v>
      </c>
      <c r="G375" s="153">
        <f>G376+G380</f>
        <v>102822</v>
      </c>
      <c r="H375" s="153">
        <f>H376+H380</f>
        <v>102569.7</v>
      </c>
      <c r="I375" s="370">
        <f>H375/F375*100</f>
        <v>110.41822761917064</v>
      </c>
      <c r="J375" s="370">
        <f t="shared" si="43"/>
        <v>99.75462449670303</v>
      </c>
    </row>
    <row r="376" spans="1:10" ht="93" customHeight="1">
      <c r="A376" s="209" t="s">
        <v>1254</v>
      </c>
      <c r="B376" s="235" t="s">
        <v>418</v>
      </c>
      <c r="C376" s="55" t="s">
        <v>1106</v>
      </c>
      <c r="D376" s="235" t="s">
        <v>1255</v>
      </c>
      <c r="E376" s="55"/>
      <c r="F376" s="153">
        <f aca="true" t="shared" si="46" ref="F376:H377">F377</f>
        <v>0</v>
      </c>
      <c r="G376" s="153">
        <f t="shared" si="46"/>
        <v>3840</v>
      </c>
      <c r="H376" s="153">
        <f t="shared" si="46"/>
        <v>3840</v>
      </c>
      <c r="I376" s="370"/>
      <c r="J376" s="370">
        <f t="shared" si="43"/>
        <v>100</v>
      </c>
    </row>
    <row r="377" spans="1:10" ht="36">
      <c r="A377" s="62" t="s">
        <v>139</v>
      </c>
      <c r="B377" s="235" t="s">
        <v>418</v>
      </c>
      <c r="C377" s="55" t="s">
        <v>1106</v>
      </c>
      <c r="D377" s="235" t="s">
        <v>1255</v>
      </c>
      <c r="E377" s="55" t="s">
        <v>1454</v>
      </c>
      <c r="F377" s="153">
        <f t="shared" si="46"/>
        <v>0</v>
      </c>
      <c r="G377" s="153">
        <f t="shared" si="46"/>
        <v>3840</v>
      </c>
      <c r="H377" s="153">
        <f t="shared" si="46"/>
        <v>3840</v>
      </c>
      <c r="I377" s="370"/>
      <c r="J377" s="370">
        <f t="shared" si="43"/>
        <v>100</v>
      </c>
    </row>
    <row r="378" spans="1:10" ht="24">
      <c r="A378" s="236" t="s">
        <v>553</v>
      </c>
      <c r="B378" s="235" t="s">
        <v>418</v>
      </c>
      <c r="C378" s="55" t="s">
        <v>1106</v>
      </c>
      <c r="D378" s="235" t="s">
        <v>1255</v>
      </c>
      <c r="E378" s="55" t="s">
        <v>554</v>
      </c>
      <c r="F378" s="60">
        <v>0</v>
      </c>
      <c r="G378" s="60">
        <v>3840</v>
      </c>
      <c r="H378" s="60">
        <v>3840</v>
      </c>
      <c r="I378" s="370"/>
      <c r="J378" s="370">
        <f t="shared" si="43"/>
        <v>100</v>
      </c>
    </row>
    <row r="379" spans="1:10" ht="36">
      <c r="A379" s="62" t="s">
        <v>139</v>
      </c>
      <c r="B379" s="55" t="s">
        <v>418</v>
      </c>
      <c r="C379" s="55" t="s">
        <v>1106</v>
      </c>
      <c r="D379" s="235" t="s">
        <v>1256</v>
      </c>
      <c r="E379" s="55" t="s">
        <v>1454</v>
      </c>
      <c r="F379" s="153">
        <f>F380</f>
        <v>92892</v>
      </c>
      <c r="G379" s="153">
        <f>G380</f>
        <v>98982</v>
      </c>
      <c r="H379" s="153">
        <f>H380</f>
        <v>98729.7</v>
      </c>
      <c r="I379" s="370">
        <f>H379/F379*100</f>
        <v>106.28439478103604</v>
      </c>
      <c r="J379" s="370">
        <f t="shared" si="43"/>
        <v>99.74510517063709</v>
      </c>
    </row>
    <row r="380" spans="1:10" ht="24">
      <c r="A380" s="236" t="s">
        <v>553</v>
      </c>
      <c r="B380" s="55" t="s">
        <v>418</v>
      </c>
      <c r="C380" s="55" t="s">
        <v>1106</v>
      </c>
      <c r="D380" s="235" t="s">
        <v>1256</v>
      </c>
      <c r="E380" s="55" t="s">
        <v>554</v>
      </c>
      <c r="F380" s="60">
        <f>92892</f>
        <v>92892</v>
      </c>
      <c r="G380" s="60">
        <f>92892+3560+3330-800</f>
        <v>98982</v>
      </c>
      <c r="H380" s="60">
        <v>98729.7</v>
      </c>
      <c r="I380" s="370">
        <f>H380/F380*100</f>
        <v>106.28439478103604</v>
      </c>
      <c r="J380" s="370">
        <f t="shared" si="43"/>
        <v>99.74510517063709</v>
      </c>
    </row>
    <row r="381" spans="1:10" ht="50.25" customHeight="1">
      <c r="A381" s="57" t="s">
        <v>1257</v>
      </c>
      <c r="B381" s="55" t="s">
        <v>418</v>
      </c>
      <c r="C381" s="55" t="s">
        <v>1106</v>
      </c>
      <c r="D381" s="235" t="s">
        <v>1258</v>
      </c>
      <c r="E381" s="55"/>
      <c r="F381" s="153">
        <f aca="true" t="shared" si="47" ref="F381:H382">F382</f>
        <v>0</v>
      </c>
      <c r="G381" s="153">
        <f t="shared" si="47"/>
        <v>25</v>
      </c>
      <c r="H381" s="153">
        <f t="shared" si="47"/>
        <v>25</v>
      </c>
      <c r="I381" s="370"/>
      <c r="J381" s="370">
        <f t="shared" si="43"/>
        <v>100</v>
      </c>
    </row>
    <row r="382" spans="1:10" ht="37.5" customHeight="1">
      <c r="A382" s="62" t="s">
        <v>139</v>
      </c>
      <c r="B382" s="55" t="s">
        <v>418</v>
      </c>
      <c r="C382" s="55" t="s">
        <v>1106</v>
      </c>
      <c r="D382" s="235" t="s">
        <v>1259</v>
      </c>
      <c r="E382" s="55" t="s">
        <v>1454</v>
      </c>
      <c r="F382" s="60">
        <f t="shared" si="47"/>
        <v>0</v>
      </c>
      <c r="G382" s="60">
        <f t="shared" si="47"/>
        <v>25</v>
      </c>
      <c r="H382" s="60">
        <f t="shared" si="47"/>
        <v>25</v>
      </c>
      <c r="I382" s="370"/>
      <c r="J382" s="370">
        <f t="shared" si="43"/>
        <v>100</v>
      </c>
    </row>
    <row r="383" spans="1:10" ht="22.5" customHeight="1">
      <c r="A383" s="236" t="s">
        <v>512</v>
      </c>
      <c r="B383" s="55" t="s">
        <v>418</v>
      </c>
      <c r="C383" s="55" t="s">
        <v>1106</v>
      </c>
      <c r="D383" s="235" t="s">
        <v>1259</v>
      </c>
      <c r="E383" s="55" t="s">
        <v>554</v>
      </c>
      <c r="F383" s="60">
        <v>0</v>
      </c>
      <c r="G383" s="60">
        <v>25</v>
      </c>
      <c r="H383" s="60">
        <v>25</v>
      </c>
      <c r="I383" s="370"/>
      <c r="J383" s="370">
        <f t="shared" si="43"/>
        <v>100</v>
      </c>
    </row>
    <row r="384" spans="1:10" ht="22.5" customHeight="1">
      <c r="A384" s="236" t="s">
        <v>1268</v>
      </c>
      <c r="B384" s="55" t="s">
        <v>418</v>
      </c>
      <c r="C384" s="55" t="s">
        <v>1106</v>
      </c>
      <c r="D384" s="235" t="s">
        <v>1259</v>
      </c>
      <c r="E384" s="55" t="s">
        <v>554</v>
      </c>
      <c r="F384" s="60">
        <v>0</v>
      </c>
      <c r="G384" s="60">
        <v>25</v>
      </c>
      <c r="H384" s="60">
        <v>25</v>
      </c>
      <c r="I384" s="370"/>
      <c r="J384" s="370">
        <f t="shared" si="43"/>
        <v>100</v>
      </c>
    </row>
    <row r="385" spans="1:10" ht="24">
      <c r="A385" s="383" t="s">
        <v>1260</v>
      </c>
      <c r="B385" s="384" t="s">
        <v>418</v>
      </c>
      <c r="C385" s="384" t="s">
        <v>1106</v>
      </c>
      <c r="D385" s="385" t="s">
        <v>1228</v>
      </c>
      <c r="E385" s="55"/>
      <c r="F385" s="153">
        <f>F386+F399+F402+F407+F410+F416+F420+F424+F441+F454+F473+F488</f>
        <v>1161219</v>
      </c>
      <c r="G385" s="153">
        <f>G386+G399+G402+G407+G410+G416+G420+G424+G441+G454+G473+G488</f>
        <v>1294646.7000000002</v>
      </c>
      <c r="H385" s="153">
        <f>H386+H399+H402+H407+H410+H416+H420+H424+H441+H454+H473+H488</f>
        <v>1274196.2</v>
      </c>
      <c r="I385" s="370">
        <f>H385/F385*100</f>
        <v>109.72918975662644</v>
      </c>
      <c r="J385" s="370">
        <f t="shared" si="43"/>
        <v>98.4203798611621</v>
      </c>
    </row>
    <row r="386" spans="1:10" ht="38.25" customHeight="1">
      <c r="A386" s="386" t="s">
        <v>1261</v>
      </c>
      <c r="B386" s="384" t="s">
        <v>418</v>
      </c>
      <c r="C386" s="384" t="s">
        <v>1106</v>
      </c>
      <c r="D386" s="387" t="s">
        <v>1262</v>
      </c>
      <c r="E386" s="388"/>
      <c r="F386" s="153">
        <f>F390+F396+F387</f>
        <v>810464</v>
      </c>
      <c r="G386" s="153">
        <f>G390+G396+G387</f>
        <v>879459.8000000002</v>
      </c>
      <c r="H386" s="153">
        <f>H390+H396+H387</f>
        <v>873314.4</v>
      </c>
      <c r="I386" s="370">
        <f>H386/F386*100</f>
        <v>107.754866348166</v>
      </c>
      <c r="J386" s="370">
        <f t="shared" si="43"/>
        <v>99.30123014150276</v>
      </c>
    </row>
    <row r="387" spans="1:10" ht="33.75" customHeight="1">
      <c r="A387" s="62" t="s">
        <v>1263</v>
      </c>
      <c r="B387" s="384" t="s">
        <v>418</v>
      </c>
      <c r="C387" s="384" t="s">
        <v>1106</v>
      </c>
      <c r="D387" s="387" t="s">
        <v>1264</v>
      </c>
      <c r="E387" s="388" t="s">
        <v>920</v>
      </c>
      <c r="F387" s="153">
        <f aca="true" t="shared" si="48" ref="F387:H388">F388</f>
        <v>0</v>
      </c>
      <c r="G387" s="153">
        <f t="shared" si="48"/>
        <v>6652.8</v>
      </c>
      <c r="H387" s="153">
        <f t="shared" si="48"/>
        <v>6652.8</v>
      </c>
      <c r="I387" s="370"/>
      <c r="J387" s="370">
        <f t="shared" si="43"/>
        <v>100</v>
      </c>
    </row>
    <row r="388" spans="1:10" ht="33" customHeight="1">
      <c r="A388" s="57" t="s">
        <v>267</v>
      </c>
      <c r="B388" s="384" t="s">
        <v>418</v>
      </c>
      <c r="C388" s="384" t="s">
        <v>1106</v>
      </c>
      <c r="D388" s="387" t="s">
        <v>1264</v>
      </c>
      <c r="E388" s="388" t="s">
        <v>446</v>
      </c>
      <c r="F388" s="153">
        <f t="shared" si="48"/>
        <v>0</v>
      </c>
      <c r="G388" s="153">
        <f t="shared" si="48"/>
        <v>6652.8</v>
      </c>
      <c r="H388" s="153">
        <f t="shared" si="48"/>
        <v>6652.8</v>
      </c>
      <c r="I388" s="370"/>
      <c r="J388" s="370">
        <f t="shared" si="43"/>
        <v>100</v>
      </c>
    </row>
    <row r="389" spans="1:10" ht="66.75" customHeight="1">
      <c r="A389" s="386" t="s">
        <v>1265</v>
      </c>
      <c r="B389" s="384" t="s">
        <v>418</v>
      </c>
      <c r="C389" s="384" t="s">
        <v>1106</v>
      </c>
      <c r="D389" s="387" t="s">
        <v>1264</v>
      </c>
      <c r="E389" s="388" t="s">
        <v>446</v>
      </c>
      <c r="F389" s="60">
        <v>0</v>
      </c>
      <c r="G389" s="60">
        <v>6652.8</v>
      </c>
      <c r="H389" s="60">
        <v>6652.8</v>
      </c>
      <c r="I389" s="370"/>
      <c r="J389" s="370">
        <f t="shared" si="43"/>
        <v>100</v>
      </c>
    </row>
    <row r="390" spans="1:10" ht="144">
      <c r="A390" s="62" t="s">
        <v>993</v>
      </c>
      <c r="B390" s="55" t="s">
        <v>418</v>
      </c>
      <c r="C390" s="55" t="s">
        <v>1106</v>
      </c>
      <c r="D390" s="387" t="s">
        <v>994</v>
      </c>
      <c r="E390" s="55" t="s">
        <v>920</v>
      </c>
      <c r="F390" s="153">
        <f>F391</f>
        <v>810464</v>
      </c>
      <c r="G390" s="153">
        <f>G391</f>
        <v>854248.0000000001</v>
      </c>
      <c r="H390" s="153">
        <f>H391</f>
        <v>851947.7999999999</v>
      </c>
      <c r="I390" s="370">
        <f>H390/F390*100</f>
        <v>105.1185246969637</v>
      </c>
      <c r="J390" s="370">
        <f t="shared" si="43"/>
        <v>99.73073393206654</v>
      </c>
    </row>
    <row r="391" spans="1:10" ht="36">
      <c r="A391" s="62" t="s">
        <v>139</v>
      </c>
      <c r="B391" s="55" t="s">
        <v>418</v>
      </c>
      <c r="C391" s="55" t="s">
        <v>1106</v>
      </c>
      <c r="D391" s="387" t="s">
        <v>994</v>
      </c>
      <c r="E391" s="55" t="s">
        <v>1454</v>
      </c>
      <c r="F391" s="153">
        <f>F392+F394</f>
        <v>810464</v>
      </c>
      <c r="G391" s="153">
        <f>G392+G394</f>
        <v>854248.0000000001</v>
      </c>
      <c r="H391" s="153">
        <f>H392+H394</f>
        <v>851947.7999999999</v>
      </c>
      <c r="I391" s="370">
        <f>H391/F391*100</f>
        <v>105.1185246969637</v>
      </c>
      <c r="J391" s="370">
        <f t="shared" si="43"/>
        <v>99.73073393206654</v>
      </c>
    </row>
    <row r="392" spans="1:10" ht="24">
      <c r="A392" s="57" t="s">
        <v>512</v>
      </c>
      <c r="B392" s="55" t="s">
        <v>418</v>
      </c>
      <c r="C392" s="55" t="s">
        <v>1106</v>
      </c>
      <c r="D392" s="387" t="s">
        <v>994</v>
      </c>
      <c r="E392" s="55" t="s">
        <v>554</v>
      </c>
      <c r="F392" s="60">
        <f>28592</f>
        <v>28592</v>
      </c>
      <c r="G392" s="60">
        <f>28259+537.9</f>
        <v>28796.9</v>
      </c>
      <c r="H392" s="60">
        <f>27772.2+537.9</f>
        <v>28310.100000000002</v>
      </c>
      <c r="I392" s="370">
        <f>H392/F392*100</f>
        <v>99.01405987688865</v>
      </c>
      <c r="J392" s="370">
        <f t="shared" si="43"/>
        <v>98.30954026301443</v>
      </c>
    </row>
    <row r="393" spans="1:10" ht="24">
      <c r="A393" s="57" t="s">
        <v>1294</v>
      </c>
      <c r="B393" s="55" t="s">
        <v>418</v>
      </c>
      <c r="C393" s="55" t="s">
        <v>1106</v>
      </c>
      <c r="D393" s="387" t="s">
        <v>994</v>
      </c>
      <c r="E393" s="55" t="s">
        <v>554</v>
      </c>
      <c r="F393" s="60">
        <v>0</v>
      </c>
      <c r="G393" s="60">
        <v>537.9</v>
      </c>
      <c r="H393" s="60">
        <v>537.9</v>
      </c>
      <c r="I393" s="370"/>
      <c r="J393" s="370">
        <f t="shared" si="43"/>
        <v>100</v>
      </c>
    </row>
    <row r="394" spans="1:10" ht="24">
      <c r="A394" s="57" t="s">
        <v>267</v>
      </c>
      <c r="B394" s="55" t="s">
        <v>418</v>
      </c>
      <c r="C394" s="55" t="s">
        <v>1106</v>
      </c>
      <c r="D394" s="387" t="s">
        <v>994</v>
      </c>
      <c r="E394" s="55" t="s">
        <v>446</v>
      </c>
      <c r="F394" s="60">
        <v>781872</v>
      </c>
      <c r="G394" s="60">
        <f>777069.3+30381.8+13500+4500</f>
        <v>825451.1000000001</v>
      </c>
      <c r="H394" s="60">
        <v>823637.7</v>
      </c>
      <c r="I394" s="370">
        <f>H394/F394*100</f>
        <v>105.34175670698016</v>
      </c>
      <c r="J394" s="370">
        <f t="shared" si="43"/>
        <v>99.7803140610025</v>
      </c>
    </row>
    <row r="395" spans="1:10" ht="24">
      <c r="A395" s="57" t="s">
        <v>1289</v>
      </c>
      <c r="B395" s="55" t="s">
        <v>418</v>
      </c>
      <c r="C395" s="55" t="s">
        <v>1106</v>
      </c>
      <c r="D395" s="387" t="s">
        <v>994</v>
      </c>
      <c r="E395" s="55" t="s">
        <v>446</v>
      </c>
      <c r="F395" s="60">
        <v>0</v>
      </c>
      <c r="G395" s="60">
        <v>30381.8</v>
      </c>
      <c r="H395" s="60">
        <v>30381.7</v>
      </c>
      <c r="I395" s="370"/>
      <c r="J395" s="370">
        <f t="shared" si="43"/>
        <v>99.99967085557802</v>
      </c>
    </row>
    <row r="396" spans="1:10" ht="144">
      <c r="A396" s="389" t="s">
        <v>1295</v>
      </c>
      <c r="B396" s="53" t="s">
        <v>418</v>
      </c>
      <c r="C396" s="53" t="s">
        <v>1106</v>
      </c>
      <c r="D396" s="53" t="s">
        <v>1296</v>
      </c>
      <c r="E396" s="53" t="s">
        <v>920</v>
      </c>
      <c r="F396" s="153">
        <f>F398</f>
        <v>0</v>
      </c>
      <c r="G396" s="153">
        <f>G398</f>
        <v>18559</v>
      </c>
      <c r="H396" s="153">
        <f>H398</f>
        <v>14713.8</v>
      </c>
      <c r="I396" s="370"/>
      <c r="J396" s="370">
        <f t="shared" si="43"/>
        <v>79.28121127215906</v>
      </c>
    </row>
    <row r="397" spans="1:10" ht="36">
      <c r="A397" s="62" t="s">
        <v>139</v>
      </c>
      <c r="B397" s="53" t="s">
        <v>418</v>
      </c>
      <c r="C397" s="53" t="s">
        <v>1106</v>
      </c>
      <c r="D397" s="53" t="s">
        <v>1296</v>
      </c>
      <c r="E397" s="53" t="s">
        <v>1454</v>
      </c>
      <c r="F397" s="153">
        <f>F398</f>
        <v>0</v>
      </c>
      <c r="G397" s="153">
        <f>G398</f>
        <v>18559</v>
      </c>
      <c r="H397" s="153">
        <f>H398</f>
        <v>14713.8</v>
      </c>
      <c r="I397" s="370"/>
      <c r="J397" s="370">
        <f t="shared" si="43"/>
        <v>79.28121127215906</v>
      </c>
    </row>
    <row r="398" spans="1:10" ht="24">
      <c r="A398" s="390" t="s">
        <v>403</v>
      </c>
      <c r="B398" s="53" t="s">
        <v>418</v>
      </c>
      <c r="C398" s="53" t="s">
        <v>1106</v>
      </c>
      <c r="D398" s="53" t="s">
        <v>1296</v>
      </c>
      <c r="E398" s="53" t="s">
        <v>404</v>
      </c>
      <c r="F398" s="60">
        <v>0</v>
      </c>
      <c r="G398" s="60">
        <f>18022+465+73-1</f>
        <v>18559</v>
      </c>
      <c r="H398" s="60">
        <v>14713.8</v>
      </c>
      <c r="I398" s="370"/>
      <c r="J398" s="370">
        <f t="shared" si="43"/>
        <v>79.28121127215906</v>
      </c>
    </row>
    <row r="399" spans="1:10" ht="48">
      <c r="A399" s="62" t="s">
        <v>1297</v>
      </c>
      <c r="B399" s="55" t="s">
        <v>418</v>
      </c>
      <c r="C399" s="55" t="s">
        <v>1106</v>
      </c>
      <c r="D399" s="387" t="s">
        <v>1298</v>
      </c>
      <c r="E399" s="55"/>
      <c r="F399" s="153">
        <f aca="true" t="shared" si="49" ref="F399:H400">F400</f>
        <v>456</v>
      </c>
      <c r="G399" s="153">
        <f t="shared" si="49"/>
        <v>0</v>
      </c>
      <c r="H399" s="153">
        <f t="shared" si="49"/>
        <v>0</v>
      </c>
      <c r="I399" s="370">
        <f aca="true" t="shared" si="50" ref="I399:I405">H399/F399*100</f>
        <v>0</v>
      </c>
      <c r="J399" s="370"/>
    </row>
    <row r="400" spans="1:10" ht="36">
      <c r="A400" s="62" t="s">
        <v>139</v>
      </c>
      <c r="B400" s="55" t="s">
        <v>418</v>
      </c>
      <c r="C400" s="55" t="s">
        <v>1106</v>
      </c>
      <c r="D400" s="387" t="s">
        <v>1299</v>
      </c>
      <c r="E400" s="55" t="s">
        <v>1454</v>
      </c>
      <c r="F400" s="153">
        <f t="shared" si="49"/>
        <v>456</v>
      </c>
      <c r="G400" s="153">
        <f t="shared" si="49"/>
        <v>0</v>
      </c>
      <c r="H400" s="153">
        <f t="shared" si="49"/>
        <v>0</v>
      </c>
      <c r="I400" s="370">
        <f t="shared" si="50"/>
        <v>0</v>
      </c>
      <c r="J400" s="370"/>
    </row>
    <row r="401" spans="1:10" ht="24">
      <c r="A401" s="57" t="s">
        <v>445</v>
      </c>
      <c r="B401" s="55" t="s">
        <v>418</v>
      </c>
      <c r="C401" s="55" t="s">
        <v>1106</v>
      </c>
      <c r="D401" s="387" t="s">
        <v>1299</v>
      </c>
      <c r="E401" s="55" t="s">
        <v>446</v>
      </c>
      <c r="F401" s="60">
        <v>456</v>
      </c>
      <c r="G401" s="60"/>
      <c r="H401" s="60"/>
      <c r="I401" s="370">
        <f t="shared" si="50"/>
        <v>0</v>
      </c>
      <c r="J401" s="370"/>
    </row>
    <row r="402" spans="1:10" ht="52.5" customHeight="1">
      <c r="A402" s="62" t="s">
        <v>1300</v>
      </c>
      <c r="B402" s="55" t="s">
        <v>418</v>
      </c>
      <c r="C402" s="55" t="s">
        <v>1106</v>
      </c>
      <c r="D402" s="55" t="s">
        <v>1301</v>
      </c>
      <c r="E402" s="55" t="s">
        <v>920</v>
      </c>
      <c r="F402" s="153">
        <f>F403</f>
        <v>37230</v>
      </c>
      <c r="G402" s="153">
        <f>G403</f>
        <v>37873</v>
      </c>
      <c r="H402" s="153">
        <f>H403</f>
        <v>37767.3</v>
      </c>
      <c r="I402" s="370">
        <f t="shared" si="50"/>
        <v>101.44319097502014</v>
      </c>
      <c r="J402" s="370">
        <f t="shared" si="43"/>
        <v>99.72090935494944</v>
      </c>
    </row>
    <row r="403" spans="1:10" ht="39" customHeight="1">
      <c r="A403" s="62" t="s">
        <v>139</v>
      </c>
      <c r="B403" s="55" t="s">
        <v>418</v>
      </c>
      <c r="C403" s="55" t="s">
        <v>1106</v>
      </c>
      <c r="D403" s="55" t="s">
        <v>1301</v>
      </c>
      <c r="E403" s="55" t="s">
        <v>1454</v>
      </c>
      <c r="F403" s="153">
        <f>F404+F405+F406</f>
        <v>37230</v>
      </c>
      <c r="G403" s="153">
        <f>G404+G405+G406</f>
        <v>37873</v>
      </c>
      <c r="H403" s="153">
        <f>H404+H405+H406</f>
        <v>37767.3</v>
      </c>
      <c r="I403" s="370">
        <f t="shared" si="50"/>
        <v>101.44319097502014</v>
      </c>
      <c r="J403" s="370">
        <f t="shared" si="43"/>
        <v>99.72090935494944</v>
      </c>
    </row>
    <row r="404" spans="1:10" ht="24">
      <c r="A404" s="57" t="s">
        <v>553</v>
      </c>
      <c r="B404" s="55" t="s">
        <v>418</v>
      </c>
      <c r="C404" s="55" t="s">
        <v>1106</v>
      </c>
      <c r="D404" s="55" t="s">
        <v>1301</v>
      </c>
      <c r="E404" s="55" t="s">
        <v>554</v>
      </c>
      <c r="F404" s="60">
        <v>280</v>
      </c>
      <c r="G404" s="60">
        <v>280</v>
      </c>
      <c r="H404" s="60">
        <v>280</v>
      </c>
      <c r="I404" s="370">
        <f t="shared" si="50"/>
        <v>100</v>
      </c>
      <c r="J404" s="370">
        <f t="shared" si="43"/>
        <v>100</v>
      </c>
    </row>
    <row r="405" spans="1:10" ht="24">
      <c r="A405" s="57" t="s">
        <v>445</v>
      </c>
      <c r="B405" s="55" t="s">
        <v>418</v>
      </c>
      <c r="C405" s="55" t="s">
        <v>1106</v>
      </c>
      <c r="D405" s="55" t="s">
        <v>1301</v>
      </c>
      <c r="E405" s="55" t="s">
        <v>446</v>
      </c>
      <c r="F405" s="60">
        <v>36950</v>
      </c>
      <c r="G405" s="60">
        <v>36950</v>
      </c>
      <c r="H405" s="60">
        <v>36950</v>
      </c>
      <c r="I405" s="370">
        <f t="shared" si="50"/>
        <v>100</v>
      </c>
      <c r="J405" s="370">
        <f t="shared" si="43"/>
        <v>100</v>
      </c>
    </row>
    <row r="406" spans="1:10" ht="24">
      <c r="A406" s="390" t="s">
        <v>403</v>
      </c>
      <c r="B406" s="55" t="s">
        <v>418</v>
      </c>
      <c r="C406" s="55" t="s">
        <v>1106</v>
      </c>
      <c r="D406" s="55" t="s">
        <v>1301</v>
      </c>
      <c r="E406" s="55" t="s">
        <v>404</v>
      </c>
      <c r="F406" s="60">
        <v>0</v>
      </c>
      <c r="G406" s="60">
        <v>643</v>
      </c>
      <c r="H406" s="60">
        <v>537.3</v>
      </c>
      <c r="I406" s="370"/>
      <c r="J406" s="370">
        <f t="shared" si="43"/>
        <v>83.56143079315707</v>
      </c>
    </row>
    <row r="407" spans="1:10" ht="60">
      <c r="A407" s="62" t="s">
        <v>1302</v>
      </c>
      <c r="B407" s="55" t="s">
        <v>418</v>
      </c>
      <c r="C407" s="55" t="s">
        <v>1106</v>
      </c>
      <c r="D407" s="55" t="s">
        <v>1303</v>
      </c>
      <c r="E407" s="55" t="s">
        <v>920</v>
      </c>
      <c r="F407" s="153">
        <f aca="true" t="shared" si="51" ref="F407:H408">F408</f>
        <v>496</v>
      </c>
      <c r="G407" s="153">
        <f t="shared" si="51"/>
        <v>496</v>
      </c>
      <c r="H407" s="153">
        <f t="shared" si="51"/>
        <v>284.5</v>
      </c>
      <c r="I407" s="370">
        <f aca="true" t="shared" si="52" ref="I407:I444">H407/F407*100</f>
        <v>57.358870967741936</v>
      </c>
      <c r="J407" s="370">
        <f aca="true" t="shared" si="53" ref="J407:J451">H407/G407*100</f>
        <v>57.358870967741936</v>
      </c>
    </row>
    <row r="408" spans="1:10" ht="24">
      <c r="A408" s="206" t="s">
        <v>767</v>
      </c>
      <c r="B408" s="55" t="s">
        <v>418</v>
      </c>
      <c r="C408" s="55" t="s">
        <v>1106</v>
      </c>
      <c r="D408" s="55" t="s">
        <v>1303</v>
      </c>
      <c r="E408" s="55" t="s">
        <v>768</v>
      </c>
      <c r="F408" s="153">
        <f t="shared" si="51"/>
        <v>496</v>
      </c>
      <c r="G408" s="153">
        <f t="shared" si="51"/>
        <v>496</v>
      </c>
      <c r="H408" s="153">
        <f t="shared" si="51"/>
        <v>284.5</v>
      </c>
      <c r="I408" s="370">
        <f t="shared" si="52"/>
        <v>57.358870967741936</v>
      </c>
      <c r="J408" s="370">
        <f t="shared" si="53"/>
        <v>57.358870967741936</v>
      </c>
    </row>
    <row r="409" spans="1:10" ht="24">
      <c r="A409" s="57" t="s">
        <v>1073</v>
      </c>
      <c r="B409" s="55" t="s">
        <v>418</v>
      </c>
      <c r="C409" s="55" t="s">
        <v>1106</v>
      </c>
      <c r="D409" s="55" t="s">
        <v>1303</v>
      </c>
      <c r="E409" s="55" t="s">
        <v>1074</v>
      </c>
      <c r="F409" s="60">
        <v>496</v>
      </c>
      <c r="G409" s="60">
        <v>496</v>
      </c>
      <c r="H409" s="60">
        <v>284.5</v>
      </c>
      <c r="I409" s="370">
        <f t="shared" si="52"/>
        <v>57.358870967741936</v>
      </c>
      <c r="J409" s="370">
        <f t="shared" si="53"/>
        <v>57.358870967741936</v>
      </c>
    </row>
    <row r="410" spans="1:10" ht="48">
      <c r="A410" s="62" t="s">
        <v>1297</v>
      </c>
      <c r="B410" s="55" t="s">
        <v>418</v>
      </c>
      <c r="C410" s="55" t="s">
        <v>1106</v>
      </c>
      <c r="D410" s="55" t="s">
        <v>1298</v>
      </c>
      <c r="E410" s="55"/>
      <c r="F410" s="153">
        <f aca="true" t="shared" si="54" ref="F410:H411">F411</f>
        <v>59883</v>
      </c>
      <c r="G410" s="153">
        <f t="shared" si="54"/>
        <v>60339</v>
      </c>
      <c r="H410" s="153">
        <f t="shared" si="54"/>
        <v>54434.7</v>
      </c>
      <c r="I410" s="370">
        <f t="shared" si="52"/>
        <v>90.90175842893642</v>
      </c>
      <c r="J410" s="370">
        <f t="shared" si="53"/>
        <v>90.21478645652066</v>
      </c>
    </row>
    <row r="411" spans="1:10" ht="144">
      <c r="A411" s="62" t="s">
        <v>1304</v>
      </c>
      <c r="B411" s="55" t="s">
        <v>418</v>
      </c>
      <c r="C411" s="55" t="s">
        <v>1106</v>
      </c>
      <c r="D411" s="55" t="s">
        <v>1299</v>
      </c>
      <c r="E411" s="55" t="s">
        <v>920</v>
      </c>
      <c r="F411" s="153">
        <f t="shared" si="54"/>
        <v>59883</v>
      </c>
      <c r="G411" s="153">
        <f t="shared" si="54"/>
        <v>60339</v>
      </c>
      <c r="H411" s="153">
        <f t="shared" si="54"/>
        <v>54434.7</v>
      </c>
      <c r="I411" s="370">
        <f t="shared" si="52"/>
        <v>90.90175842893642</v>
      </c>
      <c r="J411" s="370">
        <f t="shared" si="53"/>
        <v>90.21478645652066</v>
      </c>
    </row>
    <row r="412" spans="1:10" ht="36">
      <c r="A412" s="62" t="s">
        <v>139</v>
      </c>
      <c r="B412" s="55" t="s">
        <v>418</v>
      </c>
      <c r="C412" s="55" t="s">
        <v>1106</v>
      </c>
      <c r="D412" s="55" t="s">
        <v>1299</v>
      </c>
      <c r="E412" s="55" t="s">
        <v>1454</v>
      </c>
      <c r="F412" s="153">
        <f>F413+F415</f>
        <v>59883</v>
      </c>
      <c r="G412" s="153">
        <f>G413+G415</f>
        <v>60339</v>
      </c>
      <c r="H412" s="153">
        <f>H413+H415</f>
        <v>54434.7</v>
      </c>
      <c r="I412" s="370">
        <f t="shared" si="52"/>
        <v>90.90175842893642</v>
      </c>
      <c r="J412" s="370">
        <f t="shared" si="53"/>
        <v>90.21478645652066</v>
      </c>
    </row>
    <row r="413" spans="1:10" ht="24">
      <c r="A413" s="57" t="s">
        <v>512</v>
      </c>
      <c r="B413" s="55" t="s">
        <v>418</v>
      </c>
      <c r="C413" s="55" t="s">
        <v>1106</v>
      </c>
      <c r="D413" s="55" t="s">
        <v>1299</v>
      </c>
      <c r="E413" s="55" t="s">
        <v>554</v>
      </c>
      <c r="F413" s="60">
        <f>59555.8+327.2</f>
        <v>59883</v>
      </c>
      <c r="G413" s="60">
        <f>59555.8+327.2</f>
        <v>59883</v>
      </c>
      <c r="H413" s="60">
        <f>54060.7+H414</f>
        <v>54387.899999999994</v>
      </c>
      <c r="I413" s="370">
        <f t="shared" si="52"/>
        <v>90.82360603176193</v>
      </c>
      <c r="J413" s="370">
        <f t="shared" si="53"/>
        <v>90.82360603176193</v>
      </c>
    </row>
    <row r="414" spans="1:10" ht="24">
      <c r="A414" s="57" t="s">
        <v>1294</v>
      </c>
      <c r="B414" s="55" t="s">
        <v>418</v>
      </c>
      <c r="C414" s="55" t="s">
        <v>1106</v>
      </c>
      <c r="D414" s="55" t="s">
        <v>1299</v>
      </c>
      <c r="E414" s="55" t="s">
        <v>554</v>
      </c>
      <c r="F414" s="60">
        <v>0</v>
      </c>
      <c r="G414" s="60">
        <v>327.2</v>
      </c>
      <c r="H414" s="60">
        <v>327.2</v>
      </c>
      <c r="I414" s="370"/>
      <c r="J414" s="370">
        <f t="shared" si="53"/>
        <v>100</v>
      </c>
    </row>
    <row r="415" spans="1:10" ht="24">
      <c r="A415" s="57" t="s">
        <v>445</v>
      </c>
      <c r="B415" s="55" t="s">
        <v>418</v>
      </c>
      <c r="C415" s="55" t="s">
        <v>1106</v>
      </c>
      <c r="D415" s="55" t="s">
        <v>1299</v>
      </c>
      <c r="E415" s="55" t="s">
        <v>446</v>
      </c>
      <c r="F415" s="60">
        <v>0</v>
      </c>
      <c r="G415" s="60">
        <v>456</v>
      </c>
      <c r="H415" s="60">
        <v>46.8</v>
      </c>
      <c r="I415" s="370"/>
      <c r="J415" s="370">
        <f t="shared" si="53"/>
        <v>10.263157894736842</v>
      </c>
    </row>
    <row r="416" spans="1:10" ht="48">
      <c r="A416" s="57" t="s">
        <v>285</v>
      </c>
      <c r="B416" s="55" t="s">
        <v>418</v>
      </c>
      <c r="C416" s="55" t="s">
        <v>1106</v>
      </c>
      <c r="D416" s="55" t="s">
        <v>286</v>
      </c>
      <c r="E416" s="55"/>
      <c r="F416" s="153">
        <f aca="true" t="shared" si="55" ref="F416:H418">F417</f>
        <v>2602</v>
      </c>
      <c r="G416" s="153">
        <f t="shared" si="55"/>
        <v>2602</v>
      </c>
      <c r="H416" s="153">
        <f t="shared" si="55"/>
        <v>979.2</v>
      </c>
      <c r="I416" s="370">
        <f t="shared" si="52"/>
        <v>37.6325903151422</v>
      </c>
      <c r="J416" s="370">
        <f t="shared" si="53"/>
        <v>37.6325903151422</v>
      </c>
    </row>
    <row r="417" spans="1:10" ht="24">
      <c r="A417" s="57" t="s">
        <v>460</v>
      </c>
      <c r="B417" s="55" t="s">
        <v>418</v>
      </c>
      <c r="C417" s="55" t="s">
        <v>1106</v>
      </c>
      <c r="D417" s="55" t="s">
        <v>286</v>
      </c>
      <c r="E417" s="55" t="s">
        <v>920</v>
      </c>
      <c r="F417" s="153">
        <f t="shared" si="55"/>
        <v>2602</v>
      </c>
      <c r="G417" s="153">
        <f t="shared" si="55"/>
        <v>2602</v>
      </c>
      <c r="H417" s="153">
        <f t="shared" si="55"/>
        <v>979.2</v>
      </c>
      <c r="I417" s="370">
        <f t="shared" si="52"/>
        <v>37.6325903151422</v>
      </c>
      <c r="J417" s="370">
        <f t="shared" si="53"/>
        <v>37.6325903151422</v>
      </c>
    </row>
    <row r="418" spans="1:10" ht="36">
      <c r="A418" s="62" t="s">
        <v>139</v>
      </c>
      <c r="B418" s="55" t="s">
        <v>418</v>
      </c>
      <c r="C418" s="55" t="s">
        <v>1106</v>
      </c>
      <c r="D418" s="55" t="s">
        <v>286</v>
      </c>
      <c r="E418" s="55" t="s">
        <v>1454</v>
      </c>
      <c r="F418" s="153">
        <f t="shared" si="55"/>
        <v>2602</v>
      </c>
      <c r="G418" s="153">
        <f t="shared" si="55"/>
        <v>2602</v>
      </c>
      <c r="H418" s="153">
        <f t="shared" si="55"/>
        <v>979.2</v>
      </c>
      <c r="I418" s="370">
        <f t="shared" si="52"/>
        <v>37.6325903151422</v>
      </c>
      <c r="J418" s="370">
        <f t="shared" si="53"/>
        <v>37.6325903151422</v>
      </c>
    </row>
    <row r="419" spans="1:10" ht="24">
      <c r="A419" s="57" t="s">
        <v>553</v>
      </c>
      <c r="B419" s="55" t="s">
        <v>418</v>
      </c>
      <c r="C419" s="55" t="s">
        <v>1106</v>
      </c>
      <c r="D419" s="55" t="s">
        <v>286</v>
      </c>
      <c r="E419" s="55" t="s">
        <v>554</v>
      </c>
      <c r="F419" s="60">
        <v>2602</v>
      </c>
      <c r="G419" s="60">
        <v>2602</v>
      </c>
      <c r="H419" s="60">
        <v>979.2</v>
      </c>
      <c r="I419" s="370">
        <f t="shared" si="52"/>
        <v>37.6325903151422</v>
      </c>
      <c r="J419" s="370">
        <f t="shared" si="53"/>
        <v>37.6325903151422</v>
      </c>
    </row>
    <row r="420" spans="1:10" ht="72">
      <c r="A420" s="57" t="s">
        <v>287</v>
      </c>
      <c r="B420" s="55" t="s">
        <v>418</v>
      </c>
      <c r="C420" s="55" t="s">
        <v>1106</v>
      </c>
      <c r="D420" s="55" t="s">
        <v>288</v>
      </c>
      <c r="E420" s="55"/>
      <c r="F420" s="153">
        <f aca="true" t="shared" si="56" ref="F420:H422">F421</f>
        <v>3316</v>
      </c>
      <c r="G420" s="153">
        <f t="shared" si="56"/>
        <v>2876</v>
      </c>
      <c r="H420" s="153">
        <f t="shared" si="56"/>
        <v>1313.2</v>
      </c>
      <c r="I420" s="370">
        <f t="shared" si="52"/>
        <v>39.60193003618818</v>
      </c>
      <c r="J420" s="370">
        <f t="shared" si="53"/>
        <v>45.66063977746871</v>
      </c>
    </row>
    <row r="421" spans="1:10" ht="48">
      <c r="A421" s="57" t="s">
        <v>289</v>
      </c>
      <c r="B421" s="55" t="s">
        <v>418</v>
      </c>
      <c r="C421" s="55" t="s">
        <v>1106</v>
      </c>
      <c r="D421" s="55" t="s">
        <v>290</v>
      </c>
      <c r="E421" s="55" t="s">
        <v>920</v>
      </c>
      <c r="F421" s="153">
        <f t="shared" si="56"/>
        <v>3316</v>
      </c>
      <c r="G421" s="153">
        <f t="shared" si="56"/>
        <v>2876</v>
      </c>
      <c r="H421" s="153">
        <f t="shared" si="56"/>
        <v>1313.2</v>
      </c>
      <c r="I421" s="370">
        <f t="shared" si="52"/>
        <v>39.60193003618818</v>
      </c>
      <c r="J421" s="370">
        <f t="shared" si="53"/>
        <v>45.66063977746871</v>
      </c>
    </row>
    <row r="422" spans="1:10" ht="36">
      <c r="A422" s="62" t="s">
        <v>139</v>
      </c>
      <c r="B422" s="55" t="s">
        <v>418</v>
      </c>
      <c r="C422" s="55" t="s">
        <v>1106</v>
      </c>
      <c r="D422" s="55" t="s">
        <v>290</v>
      </c>
      <c r="E422" s="55" t="s">
        <v>1454</v>
      </c>
      <c r="F422" s="153">
        <f t="shared" si="56"/>
        <v>3316</v>
      </c>
      <c r="G422" s="153">
        <f t="shared" si="56"/>
        <v>2876</v>
      </c>
      <c r="H422" s="153">
        <f t="shared" si="56"/>
        <v>1313.2</v>
      </c>
      <c r="I422" s="370">
        <f t="shared" si="52"/>
        <v>39.60193003618818</v>
      </c>
      <c r="J422" s="370">
        <f t="shared" si="53"/>
        <v>45.66063977746871</v>
      </c>
    </row>
    <row r="423" spans="1:10" ht="24">
      <c r="A423" s="57" t="s">
        <v>553</v>
      </c>
      <c r="B423" s="55" t="s">
        <v>418</v>
      </c>
      <c r="C423" s="55" t="s">
        <v>1106</v>
      </c>
      <c r="D423" s="55" t="s">
        <v>290</v>
      </c>
      <c r="E423" s="55" t="s">
        <v>554</v>
      </c>
      <c r="F423" s="60">
        <f>3316</f>
        <v>3316</v>
      </c>
      <c r="G423" s="60">
        <f>3316-440</f>
        <v>2876</v>
      </c>
      <c r="H423" s="60">
        <v>1313.2</v>
      </c>
      <c r="I423" s="370">
        <f t="shared" si="52"/>
        <v>39.60193003618818</v>
      </c>
      <c r="J423" s="370">
        <f t="shared" si="53"/>
        <v>45.66063977746871</v>
      </c>
    </row>
    <row r="424" spans="1:10" ht="36">
      <c r="A424" s="386" t="s">
        <v>291</v>
      </c>
      <c r="B424" s="55" t="s">
        <v>418</v>
      </c>
      <c r="C424" s="55" t="s">
        <v>1106</v>
      </c>
      <c r="D424" s="55" t="s">
        <v>1262</v>
      </c>
      <c r="E424" s="55"/>
      <c r="F424" s="153">
        <f>F425+F429+F432+F436+F439</f>
        <v>9019</v>
      </c>
      <c r="G424" s="153">
        <f>G425+G429+G432+G436+G439</f>
        <v>13167</v>
      </c>
      <c r="H424" s="153">
        <f>H425+H429+H432+H436+H439</f>
        <v>11377.2</v>
      </c>
      <c r="I424" s="370">
        <f t="shared" si="52"/>
        <v>126.14702295154675</v>
      </c>
      <c r="J424" s="370">
        <f t="shared" si="53"/>
        <v>86.40692640692642</v>
      </c>
    </row>
    <row r="425" spans="1:10" ht="48">
      <c r="A425" s="386" t="s">
        <v>292</v>
      </c>
      <c r="B425" s="55" t="s">
        <v>418</v>
      </c>
      <c r="C425" s="55" t="s">
        <v>1106</v>
      </c>
      <c r="D425" s="55" t="s">
        <v>293</v>
      </c>
      <c r="E425" s="55"/>
      <c r="F425" s="153">
        <f>F426</f>
        <v>9019</v>
      </c>
      <c r="G425" s="153">
        <f>G426</f>
        <v>9019</v>
      </c>
      <c r="H425" s="153">
        <f>H426</f>
        <v>7481.3</v>
      </c>
      <c r="I425" s="370">
        <f t="shared" si="52"/>
        <v>82.95043796429759</v>
      </c>
      <c r="J425" s="370">
        <f t="shared" si="53"/>
        <v>82.95043796429759</v>
      </c>
    </row>
    <row r="426" spans="1:10" ht="36">
      <c r="A426" s="62" t="s">
        <v>139</v>
      </c>
      <c r="B426" s="55" t="s">
        <v>418</v>
      </c>
      <c r="C426" s="55" t="s">
        <v>1106</v>
      </c>
      <c r="D426" s="55" t="s">
        <v>293</v>
      </c>
      <c r="E426" s="55" t="s">
        <v>1454</v>
      </c>
      <c r="F426" s="153">
        <f>F427+F428</f>
        <v>9019</v>
      </c>
      <c r="G426" s="153">
        <f>G427+G428</f>
        <v>9019</v>
      </c>
      <c r="H426" s="153">
        <f>H427+H428</f>
        <v>7481.3</v>
      </c>
      <c r="I426" s="370">
        <f t="shared" si="52"/>
        <v>82.95043796429759</v>
      </c>
      <c r="J426" s="370">
        <f t="shared" si="53"/>
        <v>82.95043796429759</v>
      </c>
    </row>
    <row r="427" spans="1:10" ht="24">
      <c r="A427" s="57" t="s">
        <v>553</v>
      </c>
      <c r="B427" s="55" t="s">
        <v>418</v>
      </c>
      <c r="C427" s="55" t="s">
        <v>1106</v>
      </c>
      <c r="D427" s="55" t="s">
        <v>293</v>
      </c>
      <c r="E427" s="55" t="s">
        <v>554</v>
      </c>
      <c r="F427" s="60">
        <v>181</v>
      </c>
      <c r="G427" s="60">
        <v>181</v>
      </c>
      <c r="H427" s="60">
        <v>132.8</v>
      </c>
      <c r="I427" s="370">
        <f t="shared" si="52"/>
        <v>73.37016574585637</v>
      </c>
      <c r="J427" s="370">
        <f t="shared" si="53"/>
        <v>73.37016574585637</v>
      </c>
    </row>
    <row r="428" spans="1:10" ht="24">
      <c r="A428" s="57" t="s">
        <v>445</v>
      </c>
      <c r="B428" s="55" t="s">
        <v>418</v>
      </c>
      <c r="C428" s="55" t="s">
        <v>1106</v>
      </c>
      <c r="D428" s="55" t="s">
        <v>293</v>
      </c>
      <c r="E428" s="55" t="s">
        <v>446</v>
      </c>
      <c r="F428" s="60">
        <v>8838</v>
      </c>
      <c r="G428" s="60">
        <v>8838</v>
      </c>
      <c r="H428" s="60">
        <v>7348.5</v>
      </c>
      <c r="I428" s="370">
        <f t="shared" si="52"/>
        <v>83.14663951120163</v>
      </c>
      <c r="J428" s="370">
        <f t="shared" si="53"/>
        <v>83.14663951120163</v>
      </c>
    </row>
    <row r="429" spans="1:10" ht="36">
      <c r="A429" s="57" t="s">
        <v>1007</v>
      </c>
      <c r="B429" s="55" t="s">
        <v>418</v>
      </c>
      <c r="C429" s="55" t="s">
        <v>1106</v>
      </c>
      <c r="D429" s="55" t="s">
        <v>294</v>
      </c>
      <c r="E429" s="55" t="s">
        <v>920</v>
      </c>
      <c r="F429" s="153">
        <f aca="true" t="shared" si="57" ref="F429:H430">F430</f>
        <v>0</v>
      </c>
      <c r="G429" s="153">
        <f t="shared" si="57"/>
        <v>204</v>
      </c>
      <c r="H429" s="153">
        <f t="shared" si="57"/>
        <v>0</v>
      </c>
      <c r="I429" s="370"/>
      <c r="J429" s="370">
        <f t="shared" si="53"/>
        <v>0</v>
      </c>
    </row>
    <row r="430" spans="1:10" ht="36">
      <c r="A430" s="62" t="s">
        <v>139</v>
      </c>
      <c r="B430" s="55" t="s">
        <v>418</v>
      </c>
      <c r="C430" s="55" t="s">
        <v>1106</v>
      </c>
      <c r="D430" s="55" t="s">
        <v>294</v>
      </c>
      <c r="E430" s="55" t="s">
        <v>1454</v>
      </c>
      <c r="F430" s="153">
        <f t="shared" si="57"/>
        <v>0</v>
      </c>
      <c r="G430" s="153">
        <f t="shared" si="57"/>
        <v>204</v>
      </c>
      <c r="H430" s="153">
        <f t="shared" si="57"/>
        <v>0</v>
      </c>
      <c r="I430" s="370"/>
      <c r="J430" s="370">
        <f t="shared" si="53"/>
        <v>0</v>
      </c>
    </row>
    <row r="431" spans="1:10" ht="24">
      <c r="A431" s="57" t="s">
        <v>447</v>
      </c>
      <c r="B431" s="55" t="s">
        <v>418</v>
      </c>
      <c r="C431" s="55" t="s">
        <v>1106</v>
      </c>
      <c r="D431" s="55" t="s">
        <v>294</v>
      </c>
      <c r="E431" s="55" t="s">
        <v>446</v>
      </c>
      <c r="F431" s="60">
        <v>0</v>
      </c>
      <c r="G431" s="60">
        <v>204</v>
      </c>
      <c r="H431" s="60">
        <v>0</v>
      </c>
      <c r="I431" s="370"/>
      <c r="J431" s="370">
        <f t="shared" si="53"/>
        <v>0</v>
      </c>
    </row>
    <row r="432" spans="1:10" ht="24">
      <c r="A432" s="57" t="s">
        <v>295</v>
      </c>
      <c r="B432" s="55" t="s">
        <v>418</v>
      </c>
      <c r="C432" s="55" t="s">
        <v>1106</v>
      </c>
      <c r="D432" s="55" t="s">
        <v>296</v>
      </c>
      <c r="E432" s="55"/>
      <c r="F432" s="153">
        <f>F433</f>
        <v>0</v>
      </c>
      <c r="G432" s="153">
        <f>G433</f>
        <v>791</v>
      </c>
      <c r="H432" s="153">
        <f>H433</f>
        <v>742.9000000000001</v>
      </c>
      <c r="I432" s="370"/>
      <c r="J432" s="370">
        <f t="shared" si="53"/>
        <v>93.91908975979774</v>
      </c>
    </row>
    <row r="433" spans="1:10" ht="36">
      <c r="A433" s="62" t="s">
        <v>139</v>
      </c>
      <c r="B433" s="55" t="s">
        <v>418</v>
      </c>
      <c r="C433" s="55" t="s">
        <v>1106</v>
      </c>
      <c r="D433" s="55" t="s">
        <v>296</v>
      </c>
      <c r="E433" s="55" t="s">
        <v>1454</v>
      </c>
      <c r="F433" s="153">
        <f>F434+F435</f>
        <v>0</v>
      </c>
      <c r="G433" s="153">
        <f>G434+G435</f>
        <v>791</v>
      </c>
      <c r="H433" s="153">
        <f>H434+H435</f>
        <v>742.9000000000001</v>
      </c>
      <c r="I433" s="370"/>
      <c r="J433" s="370">
        <f t="shared" si="53"/>
        <v>93.91908975979774</v>
      </c>
    </row>
    <row r="434" spans="1:10" ht="24">
      <c r="A434" s="57" t="s">
        <v>553</v>
      </c>
      <c r="B434" s="55" t="s">
        <v>418</v>
      </c>
      <c r="C434" s="55" t="s">
        <v>1106</v>
      </c>
      <c r="D434" s="55" t="s">
        <v>296</v>
      </c>
      <c r="E434" s="55" t="s">
        <v>554</v>
      </c>
      <c r="F434" s="60">
        <v>0</v>
      </c>
      <c r="G434" s="60">
        <v>269.5</v>
      </c>
      <c r="H434" s="60">
        <v>226.2</v>
      </c>
      <c r="I434" s="370"/>
      <c r="J434" s="370">
        <f t="shared" si="53"/>
        <v>83.93320964749536</v>
      </c>
    </row>
    <row r="435" spans="1:10" ht="24">
      <c r="A435" s="57" t="s">
        <v>447</v>
      </c>
      <c r="B435" s="55" t="s">
        <v>418</v>
      </c>
      <c r="C435" s="55" t="s">
        <v>1106</v>
      </c>
      <c r="D435" s="55" t="s">
        <v>296</v>
      </c>
      <c r="E435" s="55" t="s">
        <v>446</v>
      </c>
      <c r="F435" s="60">
        <v>0</v>
      </c>
      <c r="G435" s="60">
        <v>521.5</v>
      </c>
      <c r="H435" s="60">
        <v>516.7</v>
      </c>
      <c r="I435" s="370"/>
      <c r="J435" s="370">
        <f t="shared" si="53"/>
        <v>99.07957813998082</v>
      </c>
    </row>
    <row r="436" spans="1:10" ht="72.75" customHeight="1">
      <c r="A436" s="57" t="s">
        <v>1233</v>
      </c>
      <c r="B436" s="55" t="s">
        <v>418</v>
      </c>
      <c r="C436" s="55" t="s">
        <v>1106</v>
      </c>
      <c r="D436" s="55" t="s">
        <v>1234</v>
      </c>
      <c r="E436" s="55" t="s">
        <v>920</v>
      </c>
      <c r="F436" s="153">
        <f aca="true" t="shared" si="58" ref="F436:H437">F437</f>
        <v>0</v>
      </c>
      <c r="G436" s="153">
        <f t="shared" si="58"/>
        <v>2000</v>
      </c>
      <c r="H436" s="153">
        <f t="shared" si="58"/>
        <v>2000</v>
      </c>
      <c r="I436" s="370"/>
      <c r="J436" s="370">
        <f t="shared" si="53"/>
        <v>100</v>
      </c>
    </row>
    <row r="437" spans="1:10" ht="36">
      <c r="A437" s="62" t="s">
        <v>139</v>
      </c>
      <c r="B437" s="55" t="s">
        <v>418</v>
      </c>
      <c r="C437" s="55" t="s">
        <v>1106</v>
      </c>
      <c r="D437" s="55" t="s">
        <v>1234</v>
      </c>
      <c r="E437" s="55" t="s">
        <v>1454</v>
      </c>
      <c r="F437" s="153">
        <f t="shared" si="58"/>
        <v>0</v>
      </c>
      <c r="G437" s="153">
        <f t="shared" si="58"/>
        <v>2000</v>
      </c>
      <c r="H437" s="153">
        <f t="shared" si="58"/>
        <v>2000</v>
      </c>
      <c r="I437" s="370"/>
      <c r="J437" s="370">
        <f t="shared" si="53"/>
        <v>100</v>
      </c>
    </row>
    <row r="438" spans="1:10" ht="24">
      <c r="A438" s="57" t="s">
        <v>1289</v>
      </c>
      <c r="B438" s="55" t="s">
        <v>418</v>
      </c>
      <c r="C438" s="55" t="s">
        <v>1106</v>
      </c>
      <c r="D438" s="55" t="s">
        <v>1234</v>
      </c>
      <c r="E438" s="55" t="s">
        <v>446</v>
      </c>
      <c r="F438" s="60">
        <v>0</v>
      </c>
      <c r="G438" s="60">
        <v>2000</v>
      </c>
      <c r="H438" s="60">
        <v>2000</v>
      </c>
      <c r="I438" s="370"/>
      <c r="J438" s="370">
        <f t="shared" si="53"/>
        <v>100</v>
      </c>
    </row>
    <row r="439" spans="1:10" ht="36">
      <c r="A439" s="62" t="s">
        <v>139</v>
      </c>
      <c r="B439" s="55" t="s">
        <v>418</v>
      </c>
      <c r="C439" s="55" t="s">
        <v>1106</v>
      </c>
      <c r="D439" s="55" t="s">
        <v>689</v>
      </c>
      <c r="E439" s="55" t="s">
        <v>1454</v>
      </c>
      <c r="F439" s="153">
        <f>F440</f>
        <v>0</v>
      </c>
      <c r="G439" s="153">
        <f>G440</f>
        <v>1153</v>
      </c>
      <c r="H439" s="153">
        <f>H440</f>
        <v>1153</v>
      </c>
      <c r="I439" s="370"/>
      <c r="J439" s="370">
        <f t="shared" si="53"/>
        <v>100</v>
      </c>
    </row>
    <row r="440" spans="1:10" ht="48">
      <c r="A440" s="57" t="s">
        <v>1023</v>
      </c>
      <c r="B440" s="55" t="s">
        <v>418</v>
      </c>
      <c r="C440" s="55" t="s">
        <v>1106</v>
      </c>
      <c r="D440" s="55" t="s">
        <v>689</v>
      </c>
      <c r="E440" s="55" t="s">
        <v>446</v>
      </c>
      <c r="F440" s="60">
        <v>0</v>
      </c>
      <c r="G440" s="60">
        <v>1153</v>
      </c>
      <c r="H440" s="60">
        <v>1153</v>
      </c>
      <c r="I440" s="370"/>
      <c r="J440" s="370">
        <f t="shared" si="53"/>
        <v>100</v>
      </c>
    </row>
    <row r="441" spans="1:10" ht="36">
      <c r="A441" s="386" t="s">
        <v>291</v>
      </c>
      <c r="B441" s="55" t="s">
        <v>418</v>
      </c>
      <c r="C441" s="55" t="s">
        <v>1106</v>
      </c>
      <c r="D441" s="55" t="s">
        <v>1262</v>
      </c>
      <c r="E441" s="55"/>
      <c r="F441" s="153">
        <f>F442</f>
        <v>124012</v>
      </c>
      <c r="G441" s="153">
        <f>G442</f>
        <v>129186.40000000001</v>
      </c>
      <c r="H441" s="153">
        <f>H442</f>
        <v>128359</v>
      </c>
      <c r="I441" s="370">
        <f t="shared" si="52"/>
        <v>103.50530593813502</v>
      </c>
      <c r="J441" s="370">
        <f t="shared" si="53"/>
        <v>99.35953010533616</v>
      </c>
    </row>
    <row r="442" spans="1:10" ht="36">
      <c r="A442" s="62" t="s">
        <v>139</v>
      </c>
      <c r="B442" s="53" t="s">
        <v>418</v>
      </c>
      <c r="C442" s="53" t="s">
        <v>1106</v>
      </c>
      <c r="D442" s="55" t="s">
        <v>1235</v>
      </c>
      <c r="E442" s="55" t="s">
        <v>1454</v>
      </c>
      <c r="F442" s="153">
        <f>F443+F444</f>
        <v>124012</v>
      </c>
      <c r="G442" s="153">
        <f>G443+G444</f>
        <v>129186.40000000001</v>
      </c>
      <c r="H442" s="153">
        <f>H443+H444</f>
        <v>128359</v>
      </c>
      <c r="I442" s="370">
        <f t="shared" si="52"/>
        <v>103.50530593813502</v>
      </c>
      <c r="J442" s="370">
        <f t="shared" si="53"/>
        <v>99.35953010533616</v>
      </c>
    </row>
    <row r="443" spans="1:10" ht="24">
      <c r="A443" s="57" t="s">
        <v>1355</v>
      </c>
      <c r="B443" s="53" t="s">
        <v>418</v>
      </c>
      <c r="C443" s="53" t="s">
        <v>1106</v>
      </c>
      <c r="D443" s="55" t="s">
        <v>1235</v>
      </c>
      <c r="E443" s="53" t="s">
        <v>554</v>
      </c>
      <c r="F443" s="60">
        <v>3834</v>
      </c>
      <c r="G443" s="60">
        <f>3796+46</f>
        <v>3842</v>
      </c>
      <c r="H443" s="60">
        <v>3637.6</v>
      </c>
      <c r="I443" s="370">
        <f t="shared" si="52"/>
        <v>94.8774126238915</v>
      </c>
      <c r="J443" s="370">
        <f t="shared" si="53"/>
        <v>94.67985424258198</v>
      </c>
    </row>
    <row r="444" spans="1:10" ht="24">
      <c r="A444" s="57" t="s">
        <v>1237</v>
      </c>
      <c r="B444" s="53" t="s">
        <v>418</v>
      </c>
      <c r="C444" s="53" t="s">
        <v>1106</v>
      </c>
      <c r="D444" s="55" t="s">
        <v>1235</v>
      </c>
      <c r="E444" s="53" t="s">
        <v>446</v>
      </c>
      <c r="F444" s="60">
        <v>120178</v>
      </c>
      <c r="G444" s="60">
        <f>121948.7+400+117.1+69.8+0.2-201.2+496.8+26+300+1037+1067.5+110.6-46+17.9</f>
        <v>125344.40000000001</v>
      </c>
      <c r="H444" s="60">
        <f>120086+H445+H446+H447+H448+H449+H450+H451+H452+H453</f>
        <v>124721.4</v>
      </c>
      <c r="I444" s="370">
        <f t="shared" si="52"/>
        <v>103.78055883772403</v>
      </c>
      <c r="J444" s="370">
        <f t="shared" si="53"/>
        <v>99.5029694186577</v>
      </c>
    </row>
    <row r="445" spans="1:10" ht="60">
      <c r="A445" s="57" t="s">
        <v>1239</v>
      </c>
      <c r="B445" s="53" t="s">
        <v>418</v>
      </c>
      <c r="C445" s="53" t="s">
        <v>1106</v>
      </c>
      <c r="D445" s="55" t="s">
        <v>1235</v>
      </c>
      <c r="E445" s="53" t="s">
        <v>446</v>
      </c>
      <c r="F445" s="60">
        <v>0</v>
      </c>
      <c r="G445" s="60">
        <v>400</v>
      </c>
      <c r="H445" s="60">
        <v>398.2</v>
      </c>
      <c r="I445" s="370"/>
      <c r="J445" s="370">
        <f t="shared" si="53"/>
        <v>99.55</v>
      </c>
    </row>
    <row r="446" spans="1:10" ht="24">
      <c r="A446" s="57" t="s">
        <v>1241</v>
      </c>
      <c r="B446" s="53" t="s">
        <v>418</v>
      </c>
      <c r="C446" s="53" t="s">
        <v>1106</v>
      </c>
      <c r="D446" s="55" t="s">
        <v>1235</v>
      </c>
      <c r="E446" s="53" t="s">
        <v>446</v>
      </c>
      <c r="F446" s="60">
        <v>0</v>
      </c>
      <c r="G446" s="60">
        <f>117.3+36.8</f>
        <v>154.1</v>
      </c>
      <c r="H446" s="60">
        <v>117.2</v>
      </c>
      <c r="I446" s="370"/>
      <c r="J446" s="370">
        <f t="shared" si="53"/>
        <v>76.05451005840364</v>
      </c>
    </row>
    <row r="447" spans="1:10" ht="24">
      <c r="A447" s="57" t="s">
        <v>1242</v>
      </c>
      <c r="B447" s="53" t="s">
        <v>418</v>
      </c>
      <c r="C447" s="53" t="s">
        <v>1106</v>
      </c>
      <c r="D447" s="55" t="s">
        <v>1235</v>
      </c>
      <c r="E447" s="53" t="s">
        <v>446</v>
      </c>
      <c r="F447" s="60">
        <v>0</v>
      </c>
      <c r="G447" s="60">
        <f>69.8+26</f>
        <v>95.8</v>
      </c>
      <c r="H447" s="60">
        <f>69.8+26</f>
        <v>95.8</v>
      </c>
      <c r="I447" s="370"/>
      <c r="J447" s="370">
        <f t="shared" si="53"/>
        <v>100</v>
      </c>
    </row>
    <row r="448" spans="1:10" ht="84">
      <c r="A448" s="57" t="s">
        <v>1311</v>
      </c>
      <c r="B448" s="53" t="s">
        <v>418</v>
      </c>
      <c r="C448" s="53" t="s">
        <v>1106</v>
      </c>
      <c r="D448" s="55" t="s">
        <v>1235</v>
      </c>
      <c r="E448" s="53" t="s">
        <v>446</v>
      </c>
      <c r="F448" s="60">
        <v>0</v>
      </c>
      <c r="G448" s="60">
        <v>496.8</v>
      </c>
      <c r="H448" s="60">
        <v>496.8</v>
      </c>
      <c r="I448" s="370"/>
      <c r="J448" s="370">
        <f t="shared" si="53"/>
        <v>100</v>
      </c>
    </row>
    <row r="449" spans="1:10" ht="24">
      <c r="A449" s="57" t="s">
        <v>1312</v>
      </c>
      <c r="B449" s="53" t="s">
        <v>418</v>
      </c>
      <c r="C449" s="53" t="s">
        <v>1106</v>
      </c>
      <c r="D449" s="55" t="s">
        <v>1235</v>
      </c>
      <c r="E449" s="53" t="s">
        <v>446</v>
      </c>
      <c r="F449" s="60">
        <v>0</v>
      </c>
      <c r="G449" s="60">
        <v>300</v>
      </c>
      <c r="H449" s="60">
        <v>300</v>
      </c>
      <c r="I449" s="370"/>
      <c r="J449" s="370">
        <f t="shared" si="53"/>
        <v>100</v>
      </c>
    </row>
    <row r="450" spans="1:10" ht="60">
      <c r="A450" s="62" t="s">
        <v>1313</v>
      </c>
      <c r="B450" s="53" t="s">
        <v>418</v>
      </c>
      <c r="C450" s="53" t="s">
        <v>1106</v>
      </c>
      <c r="D450" s="55" t="s">
        <v>1235</v>
      </c>
      <c r="E450" s="53" t="s">
        <v>446</v>
      </c>
      <c r="F450" s="60">
        <v>0</v>
      </c>
      <c r="G450" s="60">
        <v>1037</v>
      </c>
      <c r="H450" s="60">
        <v>1037</v>
      </c>
      <c r="I450" s="370"/>
      <c r="J450" s="370">
        <f t="shared" si="53"/>
        <v>100</v>
      </c>
    </row>
    <row r="451" spans="1:10" ht="36">
      <c r="A451" s="62" t="s">
        <v>1378</v>
      </c>
      <c r="B451" s="53" t="s">
        <v>418</v>
      </c>
      <c r="C451" s="53" t="s">
        <v>1106</v>
      </c>
      <c r="D451" s="55" t="s">
        <v>1235</v>
      </c>
      <c r="E451" s="53" t="s">
        <v>446</v>
      </c>
      <c r="F451" s="60">
        <v>0</v>
      </c>
      <c r="G451" s="60">
        <v>110.6</v>
      </c>
      <c r="H451" s="60">
        <v>110.4</v>
      </c>
      <c r="I451" s="370"/>
      <c r="J451" s="370">
        <f t="shared" si="53"/>
        <v>99.81916817359856</v>
      </c>
    </row>
    <row r="452" spans="1:10" ht="24">
      <c r="A452" s="62" t="s">
        <v>1268</v>
      </c>
      <c r="B452" s="53" t="s">
        <v>418</v>
      </c>
      <c r="C452" s="53" t="s">
        <v>1106</v>
      </c>
      <c r="D452" s="55" t="s">
        <v>1235</v>
      </c>
      <c r="E452" s="53" t="s">
        <v>446</v>
      </c>
      <c r="F452" s="60">
        <v>0</v>
      </c>
      <c r="G452" s="60">
        <v>2080</v>
      </c>
      <c r="H452" s="60">
        <v>2080</v>
      </c>
      <c r="I452" s="370"/>
      <c r="J452" s="370">
        <f aca="true" t="shared" si="59" ref="J452:J507">H452/G452*100</f>
        <v>100</v>
      </c>
    </row>
    <row r="453" spans="1:10" ht="48">
      <c r="A453" s="62" t="s">
        <v>688</v>
      </c>
      <c r="B453" s="53" t="s">
        <v>418</v>
      </c>
      <c r="C453" s="53" t="s">
        <v>1106</v>
      </c>
      <c r="D453" s="55" t="s">
        <v>1235</v>
      </c>
      <c r="E453" s="53" t="s">
        <v>446</v>
      </c>
      <c r="F453" s="60">
        <v>0</v>
      </c>
      <c r="G453" s="60">
        <v>17.9</v>
      </c>
      <c r="H453" s="60">
        <v>0</v>
      </c>
      <c r="I453" s="370"/>
      <c r="J453" s="370">
        <f t="shared" si="59"/>
        <v>0</v>
      </c>
    </row>
    <row r="454" spans="1:10" ht="48">
      <c r="A454" s="62" t="s">
        <v>1297</v>
      </c>
      <c r="B454" s="53" t="s">
        <v>418</v>
      </c>
      <c r="C454" s="53" t="s">
        <v>1106</v>
      </c>
      <c r="D454" s="53" t="s">
        <v>1298</v>
      </c>
      <c r="E454" s="53"/>
      <c r="F454" s="153">
        <f>F471+F466+F461+F455+F458+F464</f>
        <v>12049</v>
      </c>
      <c r="G454" s="153">
        <f>G471+G466+G461+G455+G458+G464</f>
        <v>31083</v>
      </c>
      <c r="H454" s="153">
        <f>H471+H466+H461+H455+H458+H464</f>
        <v>30035.5</v>
      </c>
      <c r="I454" s="370">
        <f>H454/F454*100</f>
        <v>249.2779483774587</v>
      </c>
      <c r="J454" s="370">
        <f t="shared" si="59"/>
        <v>96.62999067014123</v>
      </c>
    </row>
    <row r="455" spans="1:10" ht="36">
      <c r="A455" s="62" t="s">
        <v>139</v>
      </c>
      <c r="B455" s="53" t="s">
        <v>1379</v>
      </c>
      <c r="C455" s="53" t="s">
        <v>1106</v>
      </c>
      <c r="D455" s="53" t="s">
        <v>1380</v>
      </c>
      <c r="E455" s="53" t="s">
        <v>1454</v>
      </c>
      <c r="F455" s="153">
        <f aca="true" t="shared" si="60" ref="F455:H456">F456</f>
        <v>0</v>
      </c>
      <c r="G455" s="153">
        <f t="shared" si="60"/>
        <v>6028.4</v>
      </c>
      <c r="H455" s="153">
        <f t="shared" si="60"/>
        <v>6028.4</v>
      </c>
      <c r="I455" s="370"/>
      <c r="J455" s="370">
        <f t="shared" si="59"/>
        <v>100</v>
      </c>
    </row>
    <row r="456" spans="1:10" ht="24">
      <c r="A456" s="57" t="s">
        <v>1237</v>
      </c>
      <c r="B456" s="53" t="s">
        <v>1379</v>
      </c>
      <c r="C456" s="53" t="s">
        <v>1106</v>
      </c>
      <c r="D456" s="53" t="s">
        <v>1380</v>
      </c>
      <c r="E456" s="53" t="s">
        <v>446</v>
      </c>
      <c r="F456" s="153">
        <f t="shared" si="60"/>
        <v>0</v>
      </c>
      <c r="G456" s="153">
        <f t="shared" si="60"/>
        <v>6028.4</v>
      </c>
      <c r="H456" s="153">
        <f t="shared" si="60"/>
        <v>6028.4</v>
      </c>
      <c r="I456" s="370"/>
      <c r="J456" s="370">
        <f t="shared" si="59"/>
        <v>100</v>
      </c>
    </row>
    <row r="457" spans="1:10" ht="72">
      <c r="A457" s="57" t="s">
        <v>1381</v>
      </c>
      <c r="B457" s="53" t="s">
        <v>418</v>
      </c>
      <c r="C457" s="53" t="s">
        <v>1106</v>
      </c>
      <c r="D457" s="53" t="s">
        <v>1380</v>
      </c>
      <c r="E457" s="53" t="s">
        <v>446</v>
      </c>
      <c r="F457" s="60">
        <v>0</v>
      </c>
      <c r="G457" s="60">
        <v>6028.4</v>
      </c>
      <c r="H457" s="60">
        <v>6028.4</v>
      </c>
      <c r="I457" s="370"/>
      <c r="J457" s="370">
        <f t="shared" si="59"/>
        <v>100</v>
      </c>
    </row>
    <row r="458" spans="1:10" ht="36">
      <c r="A458" s="62" t="s">
        <v>139</v>
      </c>
      <c r="B458" s="53" t="s">
        <v>418</v>
      </c>
      <c r="C458" s="53" t="s">
        <v>1106</v>
      </c>
      <c r="D458" s="53" t="s">
        <v>1382</v>
      </c>
      <c r="E458" s="53" t="s">
        <v>1454</v>
      </c>
      <c r="F458" s="376">
        <f aca="true" t="shared" si="61" ref="F458:H459">F459</f>
        <v>0</v>
      </c>
      <c r="G458" s="376">
        <f t="shared" si="61"/>
        <v>2454.4</v>
      </c>
      <c r="H458" s="376">
        <f t="shared" si="61"/>
        <v>2454.4</v>
      </c>
      <c r="I458" s="370"/>
      <c r="J458" s="370">
        <f t="shared" si="59"/>
        <v>100</v>
      </c>
    </row>
    <row r="459" spans="1:10" ht="24">
      <c r="A459" s="57" t="s">
        <v>1237</v>
      </c>
      <c r="B459" s="53" t="s">
        <v>418</v>
      </c>
      <c r="C459" s="53" t="s">
        <v>1106</v>
      </c>
      <c r="D459" s="53" t="s">
        <v>1382</v>
      </c>
      <c r="E459" s="53" t="s">
        <v>446</v>
      </c>
      <c r="F459" s="376">
        <f t="shared" si="61"/>
        <v>0</v>
      </c>
      <c r="G459" s="376">
        <f t="shared" si="61"/>
        <v>2454.4</v>
      </c>
      <c r="H459" s="376">
        <f t="shared" si="61"/>
        <v>2454.4</v>
      </c>
      <c r="I459" s="370"/>
      <c r="J459" s="370">
        <f t="shared" si="59"/>
        <v>100</v>
      </c>
    </row>
    <row r="460" spans="1:10" ht="36">
      <c r="A460" s="57" t="s">
        <v>1383</v>
      </c>
      <c r="B460" s="53" t="s">
        <v>418</v>
      </c>
      <c r="C460" s="53" t="s">
        <v>1106</v>
      </c>
      <c r="D460" s="53" t="s">
        <v>1382</v>
      </c>
      <c r="E460" s="53" t="s">
        <v>446</v>
      </c>
      <c r="F460" s="60">
        <v>0</v>
      </c>
      <c r="G460" s="60">
        <v>2454.4</v>
      </c>
      <c r="H460" s="60">
        <v>2454.4</v>
      </c>
      <c r="I460" s="370"/>
      <c r="J460" s="370">
        <f t="shared" si="59"/>
        <v>100</v>
      </c>
    </row>
    <row r="461" spans="1:10" ht="36">
      <c r="A461" s="62" t="s">
        <v>139</v>
      </c>
      <c r="B461" s="53" t="s">
        <v>418</v>
      </c>
      <c r="C461" s="53" t="s">
        <v>1106</v>
      </c>
      <c r="D461" s="53" t="s">
        <v>1384</v>
      </c>
      <c r="E461" s="53" t="s">
        <v>1454</v>
      </c>
      <c r="F461" s="153">
        <f aca="true" t="shared" si="62" ref="F461:H462">F462</f>
        <v>0</v>
      </c>
      <c r="G461" s="153">
        <f t="shared" si="62"/>
        <v>7166.8</v>
      </c>
      <c r="H461" s="153">
        <f t="shared" si="62"/>
        <v>7166.8</v>
      </c>
      <c r="I461" s="370"/>
      <c r="J461" s="370">
        <f t="shared" si="59"/>
        <v>100</v>
      </c>
    </row>
    <row r="462" spans="1:10" ht="24">
      <c r="A462" s="57" t="s">
        <v>1237</v>
      </c>
      <c r="B462" s="53" t="s">
        <v>418</v>
      </c>
      <c r="C462" s="53" t="s">
        <v>1106</v>
      </c>
      <c r="D462" s="53" t="s">
        <v>1384</v>
      </c>
      <c r="E462" s="53" t="s">
        <v>446</v>
      </c>
      <c r="F462" s="153">
        <f t="shared" si="62"/>
        <v>0</v>
      </c>
      <c r="G462" s="153">
        <f t="shared" si="62"/>
        <v>7166.8</v>
      </c>
      <c r="H462" s="153">
        <f t="shared" si="62"/>
        <v>7166.8</v>
      </c>
      <c r="I462" s="370"/>
      <c r="J462" s="370">
        <f t="shared" si="59"/>
        <v>100</v>
      </c>
    </row>
    <row r="463" spans="1:10" ht="72">
      <c r="A463" s="57" t="s">
        <v>1381</v>
      </c>
      <c r="B463" s="53" t="s">
        <v>418</v>
      </c>
      <c r="C463" s="53" t="s">
        <v>1106</v>
      </c>
      <c r="D463" s="53" t="s">
        <v>1384</v>
      </c>
      <c r="E463" s="53" t="s">
        <v>446</v>
      </c>
      <c r="F463" s="60">
        <v>0</v>
      </c>
      <c r="G463" s="60">
        <v>7166.8</v>
      </c>
      <c r="H463" s="60">
        <v>7166.8</v>
      </c>
      <c r="I463" s="370"/>
      <c r="J463" s="370">
        <f t="shared" si="59"/>
        <v>100</v>
      </c>
    </row>
    <row r="464" spans="1:10" ht="36">
      <c r="A464" s="62" t="s">
        <v>139</v>
      </c>
      <c r="B464" s="53" t="s">
        <v>418</v>
      </c>
      <c r="C464" s="53" t="s">
        <v>1106</v>
      </c>
      <c r="D464" s="53" t="s">
        <v>1022</v>
      </c>
      <c r="E464" s="53" t="s">
        <v>1454</v>
      </c>
      <c r="F464" s="153">
        <f>F465</f>
        <v>0</v>
      </c>
      <c r="G464" s="153">
        <f>G465</f>
        <v>1705.6</v>
      </c>
      <c r="H464" s="153">
        <f>H465</f>
        <v>1705.6</v>
      </c>
      <c r="I464" s="370"/>
      <c r="J464" s="370">
        <f t="shared" si="59"/>
        <v>100</v>
      </c>
    </row>
    <row r="465" spans="1:10" ht="48">
      <c r="A465" s="57" t="s">
        <v>690</v>
      </c>
      <c r="B465" s="53" t="s">
        <v>418</v>
      </c>
      <c r="C465" s="53" t="s">
        <v>1106</v>
      </c>
      <c r="D465" s="53" t="s">
        <v>1022</v>
      </c>
      <c r="E465" s="53" t="s">
        <v>446</v>
      </c>
      <c r="F465" s="60">
        <v>0</v>
      </c>
      <c r="G465" s="60">
        <v>1705.6</v>
      </c>
      <c r="H465" s="60">
        <v>1705.6</v>
      </c>
      <c r="I465" s="370"/>
      <c r="J465" s="370">
        <f t="shared" si="59"/>
        <v>100</v>
      </c>
    </row>
    <row r="466" spans="1:10" ht="36">
      <c r="A466" s="62" t="s">
        <v>139</v>
      </c>
      <c r="B466" s="53" t="s">
        <v>418</v>
      </c>
      <c r="C466" s="53" t="s">
        <v>1106</v>
      </c>
      <c r="D466" s="53" t="s">
        <v>1385</v>
      </c>
      <c r="E466" s="53" t="s">
        <v>1454</v>
      </c>
      <c r="F466" s="153">
        <f>F467</f>
        <v>0</v>
      </c>
      <c r="G466" s="153">
        <f>G467</f>
        <v>2081.8</v>
      </c>
      <c r="H466" s="153">
        <f>H467</f>
        <v>2081.8</v>
      </c>
      <c r="I466" s="370"/>
      <c r="J466" s="370">
        <f t="shared" si="59"/>
        <v>100</v>
      </c>
    </row>
    <row r="467" spans="1:10" ht="24">
      <c r="A467" s="57" t="s">
        <v>1237</v>
      </c>
      <c r="B467" s="53" t="s">
        <v>418</v>
      </c>
      <c r="C467" s="53" t="s">
        <v>1106</v>
      </c>
      <c r="D467" s="53" t="s">
        <v>1385</v>
      </c>
      <c r="E467" s="53" t="s">
        <v>446</v>
      </c>
      <c r="F467" s="153">
        <f>F468+F469+F470</f>
        <v>0</v>
      </c>
      <c r="G467" s="153">
        <f>G468+G469+G470</f>
        <v>2081.8</v>
      </c>
      <c r="H467" s="153">
        <f>H468+H469+H470</f>
        <v>2081.8</v>
      </c>
      <c r="I467" s="370"/>
      <c r="J467" s="370">
        <f t="shared" si="59"/>
        <v>100</v>
      </c>
    </row>
    <row r="468" spans="1:10" ht="36">
      <c r="A468" s="57" t="s">
        <v>1386</v>
      </c>
      <c r="B468" s="53" t="s">
        <v>418</v>
      </c>
      <c r="C468" s="53" t="s">
        <v>1106</v>
      </c>
      <c r="D468" s="53" t="s">
        <v>1385</v>
      </c>
      <c r="E468" s="53" t="s">
        <v>446</v>
      </c>
      <c r="F468" s="60">
        <v>0</v>
      </c>
      <c r="G468" s="60">
        <v>201.2</v>
      </c>
      <c r="H468" s="60">
        <v>201.2</v>
      </c>
      <c r="I468" s="370"/>
      <c r="J468" s="370">
        <f t="shared" si="59"/>
        <v>100</v>
      </c>
    </row>
    <row r="469" spans="1:10" ht="48">
      <c r="A469" s="57" t="s">
        <v>1387</v>
      </c>
      <c r="B469" s="53" t="s">
        <v>418</v>
      </c>
      <c r="C469" s="53" t="s">
        <v>1106</v>
      </c>
      <c r="D469" s="53" t="s">
        <v>1385</v>
      </c>
      <c r="E469" s="53" t="s">
        <v>446</v>
      </c>
      <c r="F469" s="60">
        <v>0</v>
      </c>
      <c r="G469" s="60">
        <v>1710</v>
      </c>
      <c r="H469" s="60">
        <v>1710</v>
      </c>
      <c r="I469" s="370"/>
      <c r="J469" s="370">
        <f t="shared" si="59"/>
        <v>100</v>
      </c>
    </row>
    <row r="470" spans="1:10" ht="60">
      <c r="A470" s="62" t="s">
        <v>1377</v>
      </c>
      <c r="B470" s="53" t="s">
        <v>418</v>
      </c>
      <c r="C470" s="53" t="s">
        <v>1106</v>
      </c>
      <c r="D470" s="53" t="s">
        <v>1385</v>
      </c>
      <c r="E470" s="53" t="s">
        <v>446</v>
      </c>
      <c r="F470" s="60">
        <v>0</v>
      </c>
      <c r="G470" s="60">
        <v>170.6</v>
      </c>
      <c r="H470" s="60">
        <v>170.6</v>
      </c>
      <c r="I470" s="370"/>
      <c r="J470" s="370">
        <f t="shared" si="59"/>
        <v>100</v>
      </c>
    </row>
    <row r="471" spans="1:10" ht="36">
      <c r="A471" s="62" t="s">
        <v>139</v>
      </c>
      <c r="B471" s="53" t="s">
        <v>418</v>
      </c>
      <c r="C471" s="53" t="s">
        <v>1106</v>
      </c>
      <c r="D471" s="53" t="s">
        <v>1388</v>
      </c>
      <c r="E471" s="53" t="s">
        <v>1454</v>
      </c>
      <c r="F471" s="153">
        <f>F472</f>
        <v>12049</v>
      </c>
      <c r="G471" s="153">
        <f>G472</f>
        <v>11646</v>
      </c>
      <c r="H471" s="153">
        <f>H472</f>
        <v>10598.5</v>
      </c>
      <c r="I471" s="370">
        <f>H471/F471*100</f>
        <v>87.96165656900988</v>
      </c>
      <c r="J471" s="370">
        <f t="shared" si="59"/>
        <v>91.00549544908122</v>
      </c>
    </row>
    <row r="472" spans="1:10" ht="24">
      <c r="A472" s="57" t="s">
        <v>553</v>
      </c>
      <c r="B472" s="53" t="s">
        <v>418</v>
      </c>
      <c r="C472" s="53" t="s">
        <v>1106</v>
      </c>
      <c r="D472" s="53" t="s">
        <v>1388</v>
      </c>
      <c r="E472" s="53" t="s">
        <v>554</v>
      </c>
      <c r="F472" s="60">
        <f>12049</f>
        <v>12049</v>
      </c>
      <c r="G472" s="60">
        <f>12049-403</f>
        <v>11646</v>
      </c>
      <c r="H472" s="60">
        <v>10598.5</v>
      </c>
      <c r="I472" s="370">
        <f>H472/F472*100</f>
        <v>87.96165656900988</v>
      </c>
      <c r="J472" s="370">
        <f t="shared" si="59"/>
        <v>91.00549544908122</v>
      </c>
    </row>
    <row r="473" spans="1:10" ht="72">
      <c r="A473" s="57" t="s">
        <v>287</v>
      </c>
      <c r="B473" s="53" t="s">
        <v>418</v>
      </c>
      <c r="C473" s="53" t="s">
        <v>1106</v>
      </c>
      <c r="D473" s="53" t="s">
        <v>288</v>
      </c>
      <c r="E473" s="53"/>
      <c r="F473" s="153">
        <f>F474+F481+F486+F478</f>
        <v>101692</v>
      </c>
      <c r="G473" s="153">
        <f>G474+G481+G486+G478</f>
        <v>101820</v>
      </c>
      <c r="H473" s="153">
        <f>H474+H481+H486+H478</f>
        <v>100720.40000000001</v>
      </c>
      <c r="I473" s="370">
        <f>H473/F473*100</f>
        <v>99.04456594422373</v>
      </c>
      <c r="J473" s="370">
        <f t="shared" si="59"/>
        <v>98.92005499901788</v>
      </c>
    </row>
    <row r="474" spans="1:10" ht="96.75" customHeight="1">
      <c r="A474" s="57" t="s">
        <v>1389</v>
      </c>
      <c r="B474" s="53" t="s">
        <v>418</v>
      </c>
      <c r="C474" s="53" t="s">
        <v>1106</v>
      </c>
      <c r="D474" s="53" t="s">
        <v>1390</v>
      </c>
      <c r="E474" s="53"/>
      <c r="F474" s="153">
        <f>F475</f>
        <v>0</v>
      </c>
      <c r="G474" s="153">
        <f>G475</f>
        <v>9430</v>
      </c>
      <c r="H474" s="153">
        <f>H475</f>
        <v>9421.400000000001</v>
      </c>
      <c r="I474" s="370"/>
      <c r="J474" s="370">
        <f t="shared" si="59"/>
        <v>99.90880169671263</v>
      </c>
    </row>
    <row r="475" spans="1:10" ht="36">
      <c r="A475" s="62" t="s">
        <v>139</v>
      </c>
      <c r="B475" s="53" t="s">
        <v>418</v>
      </c>
      <c r="C475" s="53" t="s">
        <v>1106</v>
      </c>
      <c r="D475" s="53" t="s">
        <v>1390</v>
      </c>
      <c r="E475" s="53" t="s">
        <v>1454</v>
      </c>
      <c r="F475" s="153">
        <f>F476+F477</f>
        <v>0</v>
      </c>
      <c r="G475" s="153">
        <f>G476+G477</f>
        <v>9430</v>
      </c>
      <c r="H475" s="153">
        <f>H476+H477</f>
        <v>9421.400000000001</v>
      </c>
      <c r="I475" s="370"/>
      <c r="J475" s="370">
        <f t="shared" si="59"/>
        <v>99.90880169671263</v>
      </c>
    </row>
    <row r="476" spans="1:10" ht="24">
      <c r="A476" s="57" t="s">
        <v>553</v>
      </c>
      <c r="B476" s="53" t="s">
        <v>418</v>
      </c>
      <c r="C476" s="53" t="s">
        <v>1106</v>
      </c>
      <c r="D476" s="53" t="s">
        <v>1390</v>
      </c>
      <c r="E476" s="53" t="s">
        <v>554</v>
      </c>
      <c r="F476" s="60">
        <v>0</v>
      </c>
      <c r="G476" s="60">
        <f>7728-419.8</f>
        <v>7308.2</v>
      </c>
      <c r="H476" s="60">
        <v>7299.6</v>
      </c>
      <c r="I476" s="370"/>
      <c r="J476" s="370">
        <f t="shared" si="59"/>
        <v>99.8823239648614</v>
      </c>
    </row>
    <row r="477" spans="1:10" ht="24">
      <c r="A477" s="57" t="s">
        <v>553</v>
      </c>
      <c r="B477" s="53" t="s">
        <v>418</v>
      </c>
      <c r="C477" s="53" t="s">
        <v>1106</v>
      </c>
      <c r="D477" s="53" t="s">
        <v>1390</v>
      </c>
      <c r="E477" s="53" t="s">
        <v>446</v>
      </c>
      <c r="F477" s="60">
        <v>0</v>
      </c>
      <c r="G477" s="60">
        <f>1702+419.8</f>
        <v>2121.8</v>
      </c>
      <c r="H477" s="60">
        <f>1702+419.8</f>
        <v>2121.8</v>
      </c>
      <c r="I477" s="370"/>
      <c r="J477" s="370">
        <f t="shared" si="59"/>
        <v>100</v>
      </c>
    </row>
    <row r="478" spans="1:10" ht="36">
      <c r="A478" s="62" t="s">
        <v>139</v>
      </c>
      <c r="B478" s="53" t="s">
        <v>418</v>
      </c>
      <c r="C478" s="53" t="s">
        <v>1106</v>
      </c>
      <c r="D478" s="53" t="s">
        <v>1391</v>
      </c>
      <c r="E478" s="53" t="s">
        <v>1454</v>
      </c>
      <c r="F478" s="60">
        <v>0</v>
      </c>
      <c r="G478" s="60">
        <f>G479+G480</f>
        <v>650</v>
      </c>
      <c r="H478" s="60">
        <f>H479+H480</f>
        <v>650</v>
      </c>
      <c r="I478" s="370"/>
      <c r="J478" s="370">
        <f t="shared" si="59"/>
        <v>100</v>
      </c>
    </row>
    <row r="479" spans="1:10" ht="72">
      <c r="A479" s="57" t="s">
        <v>1392</v>
      </c>
      <c r="B479" s="53" t="s">
        <v>418</v>
      </c>
      <c r="C479" s="53" t="s">
        <v>1106</v>
      </c>
      <c r="D479" s="53" t="s">
        <v>1391</v>
      </c>
      <c r="E479" s="53" t="s">
        <v>446</v>
      </c>
      <c r="F479" s="60">
        <v>0</v>
      </c>
      <c r="G479" s="60">
        <v>250</v>
      </c>
      <c r="H479" s="60">
        <v>250</v>
      </c>
      <c r="I479" s="370"/>
      <c r="J479" s="370">
        <f t="shared" si="59"/>
        <v>100</v>
      </c>
    </row>
    <row r="480" spans="1:10" ht="48">
      <c r="A480" s="57" t="s">
        <v>566</v>
      </c>
      <c r="B480" s="53" t="s">
        <v>418</v>
      </c>
      <c r="C480" s="53" t="s">
        <v>1106</v>
      </c>
      <c r="D480" s="53" t="s">
        <v>1391</v>
      </c>
      <c r="E480" s="53" t="s">
        <v>446</v>
      </c>
      <c r="F480" s="60">
        <v>0</v>
      </c>
      <c r="G480" s="60">
        <v>400</v>
      </c>
      <c r="H480" s="60">
        <v>400</v>
      </c>
      <c r="I480" s="370"/>
      <c r="J480" s="370">
        <f t="shared" si="59"/>
        <v>100</v>
      </c>
    </row>
    <row r="481" spans="1:10" ht="36">
      <c r="A481" s="62" t="s">
        <v>139</v>
      </c>
      <c r="B481" s="53" t="s">
        <v>418</v>
      </c>
      <c r="C481" s="53" t="s">
        <v>1106</v>
      </c>
      <c r="D481" s="53" t="s">
        <v>567</v>
      </c>
      <c r="E481" s="53" t="s">
        <v>1454</v>
      </c>
      <c r="F481" s="153">
        <f>F482+F485</f>
        <v>76044</v>
      </c>
      <c r="G481" s="153">
        <f>G482+G485</f>
        <v>67842</v>
      </c>
      <c r="H481" s="153">
        <f>H482+H485</f>
        <v>66803.2</v>
      </c>
      <c r="I481" s="370">
        <f>H481/F481*100</f>
        <v>87.84808794908211</v>
      </c>
      <c r="J481" s="370">
        <f t="shared" si="59"/>
        <v>98.46879514165265</v>
      </c>
    </row>
    <row r="482" spans="1:10" ht="24">
      <c r="A482" s="57" t="s">
        <v>141</v>
      </c>
      <c r="B482" s="53" t="s">
        <v>418</v>
      </c>
      <c r="C482" s="53" t="s">
        <v>1106</v>
      </c>
      <c r="D482" s="53" t="s">
        <v>567</v>
      </c>
      <c r="E482" s="53" t="s">
        <v>554</v>
      </c>
      <c r="F482" s="60">
        <f>63790</f>
        <v>63790</v>
      </c>
      <c r="G482" s="60">
        <f>63790+456-7728-3129.8+24+300+904</f>
        <v>54616.2</v>
      </c>
      <c r="H482" s="60">
        <f>53652.5+H483+H484</f>
        <v>53968.5</v>
      </c>
      <c r="I482" s="370">
        <f>H482/F482*100</f>
        <v>84.60338611067564</v>
      </c>
      <c r="J482" s="370">
        <f t="shared" si="59"/>
        <v>98.81408812769838</v>
      </c>
    </row>
    <row r="483" spans="1:10" ht="24">
      <c r="A483" s="57" t="s">
        <v>1242</v>
      </c>
      <c r="B483" s="53" t="s">
        <v>418</v>
      </c>
      <c r="C483" s="53" t="s">
        <v>1106</v>
      </c>
      <c r="D483" s="53" t="s">
        <v>567</v>
      </c>
      <c r="E483" s="53" t="s">
        <v>554</v>
      </c>
      <c r="F483" s="60">
        <v>0</v>
      </c>
      <c r="G483" s="60">
        <v>24</v>
      </c>
      <c r="H483" s="60">
        <v>16</v>
      </c>
      <c r="I483" s="370"/>
      <c r="J483" s="370">
        <f t="shared" si="59"/>
        <v>66.66666666666666</v>
      </c>
    </row>
    <row r="484" spans="1:10" ht="24">
      <c r="A484" s="57" t="s">
        <v>1312</v>
      </c>
      <c r="B484" s="53" t="s">
        <v>418</v>
      </c>
      <c r="C484" s="53" t="s">
        <v>1106</v>
      </c>
      <c r="D484" s="53" t="s">
        <v>567</v>
      </c>
      <c r="E484" s="53" t="s">
        <v>554</v>
      </c>
      <c r="F484" s="60">
        <v>0</v>
      </c>
      <c r="G484" s="60">
        <v>300</v>
      </c>
      <c r="H484" s="60">
        <v>300</v>
      </c>
      <c r="I484" s="370"/>
      <c r="J484" s="370">
        <f t="shared" si="59"/>
        <v>100</v>
      </c>
    </row>
    <row r="485" spans="1:10" ht="24">
      <c r="A485" s="57" t="s">
        <v>445</v>
      </c>
      <c r="B485" s="53" t="s">
        <v>418</v>
      </c>
      <c r="C485" s="53" t="s">
        <v>1106</v>
      </c>
      <c r="D485" s="53" t="s">
        <v>567</v>
      </c>
      <c r="E485" s="53" t="s">
        <v>446</v>
      </c>
      <c r="F485" s="60">
        <f>12254</f>
        <v>12254</v>
      </c>
      <c r="G485" s="60">
        <f>12254-456-1702+3129.8</f>
        <v>13225.8</v>
      </c>
      <c r="H485" s="60">
        <v>12834.7</v>
      </c>
      <c r="I485" s="370">
        <f>H485/F485*100</f>
        <v>104.73886078015342</v>
      </c>
      <c r="J485" s="370">
        <f t="shared" si="59"/>
        <v>97.04290099653709</v>
      </c>
    </row>
    <row r="486" spans="1:10" ht="36">
      <c r="A486" s="62" t="s">
        <v>139</v>
      </c>
      <c r="B486" s="53" t="s">
        <v>418</v>
      </c>
      <c r="C486" s="53" t="s">
        <v>1106</v>
      </c>
      <c r="D486" s="53" t="s">
        <v>568</v>
      </c>
      <c r="E486" s="53" t="s">
        <v>1454</v>
      </c>
      <c r="F486" s="153">
        <f>F487</f>
        <v>25648</v>
      </c>
      <c r="G486" s="153">
        <f>G487</f>
        <v>23898</v>
      </c>
      <c r="H486" s="153">
        <f>H487</f>
        <v>23845.8</v>
      </c>
      <c r="I486" s="370">
        <f>H486/F486*100</f>
        <v>92.97333125389893</v>
      </c>
      <c r="J486" s="370">
        <f t="shared" si="59"/>
        <v>99.78157167963846</v>
      </c>
    </row>
    <row r="487" spans="1:10" ht="24">
      <c r="A487" s="57" t="s">
        <v>553</v>
      </c>
      <c r="B487" s="53" t="s">
        <v>418</v>
      </c>
      <c r="C487" s="53" t="s">
        <v>1106</v>
      </c>
      <c r="D487" s="53" t="s">
        <v>568</v>
      </c>
      <c r="E487" s="53" t="s">
        <v>554</v>
      </c>
      <c r="F487" s="60">
        <f>25648</f>
        <v>25648</v>
      </c>
      <c r="G487" s="60">
        <f>25648-1500-250</f>
        <v>23898</v>
      </c>
      <c r="H487" s="60">
        <v>23845.8</v>
      </c>
      <c r="I487" s="370">
        <f>H487/F487*100</f>
        <v>92.97333125389893</v>
      </c>
      <c r="J487" s="370">
        <f t="shared" si="59"/>
        <v>99.78157167963846</v>
      </c>
    </row>
    <row r="488" spans="1:10" ht="36">
      <c r="A488" s="57" t="s">
        <v>1244</v>
      </c>
      <c r="B488" s="53" t="s">
        <v>418</v>
      </c>
      <c r="C488" s="53" t="s">
        <v>1106</v>
      </c>
      <c r="D488" s="53" t="s">
        <v>1245</v>
      </c>
      <c r="E488" s="53"/>
      <c r="F488" s="153">
        <f>F489+F492+F497+F506</f>
        <v>0</v>
      </c>
      <c r="G488" s="153">
        <f>G489+G492+G497+G506</f>
        <v>35744.5</v>
      </c>
      <c r="H488" s="153">
        <f>H489+H492+H497+H506</f>
        <v>35610.8</v>
      </c>
      <c r="I488" s="370"/>
      <c r="J488" s="370">
        <f t="shared" si="59"/>
        <v>99.62595644085106</v>
      </c>
    </row>
    <row r="489" spans="1:10" ht="36">
      <c r="A489" s="62" t="s">
        <v>139</v>
      </c>
      <c r="B489" s="53" t="s">
        <v>418</v>
      </c>
      <c r="C489" s="53" t="s">
        <v>1106</v>
      </c>
      <c r="D489" s="53" t="s">
        <v>569</v>
      </c>
      <c r="E489" s="53" t="s">
        <v>1454</v>
      </c>
      <c r="F489" s="153">
        <f aca="true" t="shared" si="63" ref="F489:H490">F490</f>
        <v>0</v>
      </c>
      <c r="G489" s="153">
        <f t="shared" si="63"/>
        <v>8043</v>
      </c>
      <c r="H489" s="153">
        <f t="shared" si="63"/>
        <v>8043</v>
      </c>
      <c r="I489" s="370"/>
      <c r="J489" s="370">
        <f t="shared" si="59"/>
        <v>100</v>
      </c>
    </row>
    <row r="490" spans="1:10" ht="24">
      <c r="A490" s="57" t="s">
        <v>267</v>
      </c>
      <c r="B490" s="53" t="s">
        <v>418</v>
      </c>
      <c r="C490" s="53" t="s">
        <v>1106</v>
      </c>
      <c r="D490" s="53" t="s">
        <v>569</v>
      </c>
      <c r="E490" s="53" t="s">
        <v>446</v>
      </c>
      <c r="F490" s="153">
        <f t="shared" si="63"/>
        <v>0</v>
      </c>
      <c r="G490" s="153">
        <f t="shared" si="63"/>
        <v>8043</v>
      </c>
      <c r="H490" s="153">
        <f t="shared" si="63"/>
        <v>8043</v>
      </c>
      <c r="I490" s="370"/>
      <c r="J490" s="370">
        <f t="shared" si="59"/>
        <v>100</v>
      </c>
    </row>
    <row r="491" spans="1:10" ht="72">
      <c r="A491" s="57" t="s">
        <v>1232</v>
      </c>
      <c r="B491" s="53" t="s">
        <v>418</v>
      </c>
      <c r="C491" s="53" t="s">
        <v>1106</v>
      </c>
      <c r="D491" s="53" t="s">
        <v>569</v>
      </c>
      <c r="E491" s="53" t="s">
        <v>446</v>
      </c>
      <c r="F491" s="60">
        <v>0</v>
      </c>
      <c r="G491" s="60">
        <v>8043</v>
      </c>
      <c r="H491" s="60">
        <v>8043</v>
      </c>
      <c r="I491" s="370"/>
      <c r="J491" s="370">
        <f t="shared" si="59"/>
        <v>100</v>
      </c>
    </row>
    <row r="492" spans="1:10" ht="36">
      <c r="A492" s="62" t="s">
        <v>154</v>
      </c>
      <c r="B492" s="53" t="s">
        <v>418</v>
      </c>
      <c r="C492" s="53" t="s">
        <v>1106</v>
      </c>
      <c r="D492" s="53" t="s">
        <v>570</v>
      </c>
      <c r="E492" s="53" t="s">
        <v>552</v>
      </c>
      <c r="F492" s="153">
        <f>F493</f>
        <v>0</v>
      </c>
      <c r="G492" s="153">
        <f>G493</f>
        <v>4956</v>
      </c>
      <c r="H492" s="153">
        <f>H493</f>
        <v>4956</v>
      </c>
      <c r="I492" s="370"/>
      <c r="J492" s="370">
        <f t="shared" si="59"/>
        <v>100</v>
      </c>
    </row>
    <row r="493" spans="1:10" ht="48">
      <c r="A493" s="62" t="s">
        <v>278</v>
      </c>
      <c r="B493" s="53" t="s">
        <v>418</v>
      </c>
      <c r="C493" s="53" t="s">
        <v>1106</v>
      </c>
      <c r="D493" s="53" t="s">
        <v>570</v>
      </c>
      <c r="E493" s="53" t="s">
        <v>155</v>
      </c>
      <c r="F493" s="153">
        <f>F494+F495+F496</f>
        <v>0</v>
      </c>
      <c r="G493" s="153">
        <f>G494+G495+G496</f>
        <v>4956</v>
      </c>
      <c r="H493" s="153">
        <f>H494+H495+H496</f>
        <v>4956</v>
      </c>
      <c r="I493" s="370"/>
      <c r="J493" s="370">
        <f t="shared" si="59"/>
        <v>100</v>
      </c>
    </row>
    <row r="494" spans="1:10" ht="72">
      <c r="A494" s="57" t="s">
        <v>571</v>
      </c>
      <c r="B494" s="53" t="s">
        <v>418</v>
      </c>
      <c r="C494" s="53" t="s">
        <v>1106</v>
      </c>
      <c r="D494" s="53" t="s">
        <v>570</v>
      </c>
      <c r="E494" s="53" t="s">
        <v>155</v>
      </c>
      <c r="F494" s="60">
        <v>0</v>
      </c>
      <c r="G494" s="60">
        <v>950</v>
      </c>
      <c r="H494" s="60">
        <v>950</v>
      </c>
      <c r="I494" s="370"/>
      <c r="J494" s="370">
        <f t="shared" si="59"/>
        <v>100</v>
      </c>
    </row>
    <row r="495" spans="1:10" ht="24">
      <c r="A495" s="57" t="s">
        <v>572</v>
      </c>
      <c r="B495" s="53" t="s">
        <v>418</v>
      </c>
      <c r="C495" s="53" t="s">
        <v>1106</v>
      </c>
      <c r="D495" s="53" t="s">
        <v>570</v>
      </c>
      <c r="E495" s="53" t="s">
        <v>155</v>
      </c>
      <c r="F495" s="60">
        <v>0</v>
      </c>
      <c r="G495" s="60">
        <v>3286.1</v>
      </c>
      <c r="H495" s="60">
        <v>3286.1</v>
      </c>
      <c r="I495" s="370"/>
      <c r="J495" s="370">
        <f t="shared" si="59"/>
        <v>100</v>
      </c>
    </row>
    <row r="496" spans="1:10" ht="36">
      <c r="A496" s="57" t="s">
        <v>573</v>
      </c>
      <c r="B496" s="53" t="s">
        <v>418</v>
      </c>
      <c r="C496" s="53" t="s">
        <v>1106</v>
      </c>
      <c r="D496" s="53" t="s">
        <v>570</v>
      </c>
      <c r="E496" s="53" t="s">
        <v>155</v>
      </c>
      <c r="F496" s="60">
        <v>0</v>
      </c>
      <c r="G496" s="60">
        <v>719.9</v>
      </c>
      <c r="H496" s="60">
        <v>719.9</v>
      </c>
      <c r="I496" s="370"/>
      <c r="J496" s="370">
        <f t="shared" si="59"/>
        <v>100</v>
      </c>
    </row>
    <row r="497" spans="1:10" ht="36">
      <c r="A497" s="62" t="s">
        <v>139</v>
      </c>
      <c r="B497" s="53" t="s">
        <v>418</v>
      </c>
      <c r="C497" s="53" t="s">
        <v>1106</v>
      </c>
      <c r="D497" s="53" t="s">
        <v>570</v>
      </c>
      <c r="E497" s="53" t="s">
        <v>1454</v>
      </c>
      <c r="F497" s="153">
        <f>F498+F500</f>
        <v>0</v>
      </c>
      <c r="G497" s="153">
        <f>G498+G500</f>
        <v>20079.5</v>
      </c>
      <c r="H497" s="153">
        <f>H498+H500</f>
        <v>19945.8</v>
      </c>
      <c r="I497" s="370"/>
      <c r="J497" s="370">
        <f t="shared" si="59"/>
        <v>99.33414676660274</v>
      </c>
    </row>
    <row r="498" spans="1:10" ht="24">
      <c r="A498" s="57" t="s">
        <v>512</v>
      </c>
      <c r="B498" s="53" t="s">
        <v>418</v>
      </c>
      <c r="C498" s="53" t="s">
        <v>1106</v>
      </c>
      <c r="D498" s="53" t="s">
        <v>570</v>
      </c>
      <c r="E498" s="53" t="s">
        <v>554</v>
      </c>
      <c r="F498" s="153">
        <f>F499</f>
        <v>0</v>
      </c>
      <c r="G498" s="153">
        <f>G499</f>
        <v>853.5</v>
      </c>
      <c r="H498" s="153">
        <f>H499</f>
        <v>830</v>
      </c>
      <c r="I498" s="370"/>
      <c r="J498" s="370">
        <f t="shared" si="59"/>
        <v>97.24663151728178</v>
      </c>
    </row>
    <row r="499" spans="1:10" ht="24">
      <c r="A499" s="57" t="s">
        <v>1236</v>
      </c>
      <c r="B499" s="53" t="s">
        <v>418</v>
      </c>
      <c r="C499" s="53" t="s">
        <v>1106</v>
      </c>
      <c r="D499" s="53" t="s">
        <v>570</v>
      </c>
      <c r="E499" s="53" t="s">
        <v>554</v>
      </c>
      <c r="F499" s="60">
        <v>0</v>
      </c>
      <c r="G499" s="60">
        <v>853.5</v>
      </c>
      <c r="H499" s="60">
        <v>830</v>
      </c>
      <c r="I499" s="370"/>
      <c r="J499" s="370">
        <f t="shared" si="59"/>
        <v>97.24663151728178</v>
      </c>
    </row>
    <row r="500" spans="1:10" ht="24">
      <c r="A500" s="57" t="s">
        <v>267</v>
      </c>
      <c r="B500" s="53" t="s">
        <v>418</v>
      </c>
      <c r="C500" s="53" t="s">
        <v>1106</v>
      </c>
      <c r="D500" s="53" t="s">
        <v>570</v>
      </c>
      <c r="E500" s="53" t="s">
        <v>446</v>
      </c>
      <c r="F500" s="153">
        <f>F501+F502+F503+F504+F505</f>
        <v>0</v>
      </c>
      <c r="G500" s="153">
        <f>G501+G502+G503+G504+G505</f>
        <v>19226</v>
      </c>
      <c r="H500" s="153">
        <f>H501+H502+H503+H504+H505</f>
        <v>19115.8</v>
      </c>
      <c r="I500" s="370"/>
      <c r="J500" s="370">
        <f t="shared" si="59"/>
        <v>99.42681785082699</v>
      </c>
    </row>
    <row r="501" spans="1:10" ht="48">
      <c r="A501" s="57" t="s">
        <v>574</v>
      </c>
      <c r="B501" s="53" t="s">
        <v>418</v>
      </c>
      <c r="C501" s="53" t="s">
        <v>1106</v>
      </c>
      <c r="D501" s="53" t="s">
        <v>570</v>
      </c>
      <c r="E501" s="53" t="s">
        <v>446</v>
      </c>
      <c r="F501" s="60">
        <v>0</v>
      </c>
      <c r="G501" s="60">
        <f>9496+500+3365</f>
        <v>13361</v>
      </c>
      <c r="H501" s="60">
        <v>13335.9</v>
      </c>
      <c r="I501" s="370"/>
      <c r="J501" s="370">
        <f t="shared" si="59"/>
        <v>99.81213980989446</v>
      </c>
    </row>
    <row r="502" spans="1:10" ht="84">
      <c r="A502" s="57" t="s">
        <v>1238</v>
      </c>
      <c r="B502" s="53" t="s">
        <v>418</v>
      </c>
      <c r="C502" s="53" t="s">
        <v>1106</v>
      </c>
      <c r="D502" s="53" t="s">
        <v>570</v>
      </c>
      <c r="E502" s="53" t="s">
        <v>446</v>
      </c>
      <c r="F502" s="60">
        <v>0</v>
      </c>
      <c r="G502" s="60">
        <v>403</v>
      </c>
      <c r="H502" s="60">
        <v>403</v>
      </c>
      <c r="I502" s="370"/>
      <c r="J502" s="370">
        <f t="shared" si="59"/>
        <v>100</v>
      </c>
    </row>
    <row r="503" spans="1:10" ht="36">
      <c r="A503" s="57" t="s">
        <v>1240</v>
      </c>
      <c r="B503" s="53" t="s">
        <v>418</v>
      </c>
      <c r="C503" s="53" t="s">
        <v>1106</v>
      </c>
      <c r="D503" s="53" t="s">
        <v>570</v>
      </c>
      <c r="E503" s="53" t="s">
        <v>446</v>
      </c>
      <c r="F503" s="60">
        <v>0</v>
      </c>
      <c r="G503" s="60">
        <v>3050</v>
      </c>
      <c r="H503" s="60">
        <v>2969.1</v>
      </c>
      <c r="I503" s="370"/>
      <c r="J503" s="370">
        <f t="shared" si="59"/>
        <v>97.34754098360655</v>
      </c>
    </row>
    <row r="504" spans="1:10" ht="24">
      <c r="A504" s="57" t="s">
        <v>575</v>
      </c>
      <c r="B504" s="53" t="s">
        <v>418</v>
      </c>
      <c r="C504" s="53" t="s">
        <v>1106</v>
      </c>
      <c r="D504" s="53" t="s">
        <v>570</v>
      </c>
      <c r="E504" s="53" t="s">
        <v>446</v>
      </c>
      <c r="F504" s="60">
        <v>0</v>
      </c>
      <c r="G504" s="60">
        <v>162</v>
      </c>
      <c r="H504" s="60">
        <v>162</v>
      </c>
      <c r="I504" s="370"/>
      <c r="J504" s="370">
        <f t="shared" si="59"/>
        <v>100</v>
      </c>
    </row>
    <row r="505" spans="1:10" ht="48">
      <c r="A505" s="57" t="s">
        <v>576</v>
      </c>
      <c r="B505" s="53" t="s">
        <v>418</v>
      </c>
      <c r="C505" s="53" t="s">
        <v>1106</v>
      </c>
      <c r="D505" s="53" t="s">
        <v>570</v>
      </c>
      <c r="E505" s="53" t="s">
        <v>446</v>
      </c>
      <c r="F505" s="60">
        <v>0</v>
      </c>
      <c r="G505" s="60">
        <v>2250</v>
      </c>
      <c r="H505" s="60">
        <v>2245.8</v>
      </c>
      <c r="I505" s="370"/>
      <c r="J505" s="370">
        <f t="shared" si="59"/>
        <v>99.81333333333335</v>
      </c>
    </row>
    <row r="506" spans="1:10" ht="36">
      <c r="A506" s="62" t="s">
        <v>139</v>
      </c>
      <c r="B506" s="53" t="s">
        <v>418</v>
      </c>
      <c r="C506" s="53" t="s">
        <v>1106</v>
      </c>
      <c r="D506" s="53" t="s">
        <v>577</v>
      </c>
      <c r="E506" s="53" t="s">
        <v>1454</v>
      </c>
      <c r="F506" s="153">
        <f>F507</f>
        <v>0</v>
      </c>
      <c r="G506" s="153">
        <f>G507</f>
        <v>2666</v>
      </c>
      <c r="H506" s="153">
        <f>H507</f>
        <v>2666</v>
      </c>
      <c r="I506" s="370"/>
      <c r="J506" s="370">
        <f t="shared" si="59"/>
        <v>100</v>
      </c>
    </row>
    <row r="507" spans="1:10" ht="24">
      <c r="A507" s="57" t="s">
        <v>512</v>
      </c>
      <c r="B507" s="53" t="s">
        <v>418</v>
      </c>
      <c r="C507" s="53" t="s">
        <v>1106</v>
      </c>
      <c r="D507" s="53" t="s">
        <v>577</v>
      </c>
      <c r="E507" s="53" t="s">
        <v>554</v>
      </c>
      <c r="F507" s="153">
        <f>F508+F509</f>
        <v>0</v>
      </c>
      <c r="G507" s="153">
        <f>G508+G509</f>
        <v>2666</v>
      </c>
      <c r="H507" s="153">
        <f>H508+H509</f>
        <v>2666</v>
      </c>
      <c r="I507" s="370"/>
      <c r="J507" s="370">
        <f t="shared" si="59"/>
        <v>100</v>
      </c>
    </row>
    <row r="508" spans="1:10" ht="24">
      <c r="A508" s="57" t="s">
        <v>578</v>
      </c>
      <c r="B508" s="53" t="s">
        <v>418</v>
      </c>
      <c r="C508" s="53" t="s">
        <v>1106</v>
      </c>
      <c r="D508" s="53" t="s">
        <v>577</v>
      </c>
      <c r="E508" s="53" t="s">
        <v>554</v>
      </c>
      <c r="F508" s="60">
        <v>0</v>
      </c>
      <c r="G508" s="60">
        <v>310</v>
      </c>
      <c r="H508" s="60">
        <v>310</v>
      </c>
      <c r="I508" s="370"/>
      <c r="J508" s="370">
        <f aca="true" t="shared" si="64" ref="J508:J558">H508/G508*100</f>
        <v>100</v>
      </c>
    </row>
    <row r="509" spans="1:10" ht="24">
      <c r="A509" s="57" t="s">
        <v>579</v>
      </c>
      <c r="B509" s="53" t="s">
        <v>418</v>
      </c>
      <c r="C509" s="53" t="s">
        <v>1106</v>
      </c>
      <c r="D509" s="53" t="s">
        <v>577</v>
      </c>
      <c r="E509" s="53" t="s">
        <v>554</v>
      </c>
      <c r="F509" s="60">
        <v>0</v>
      </c>
      <c r="G509" s="60">
        <v>2356</v>
      </c>
      <c r="H509" s="60">
        <v>2356</v>
      </c>
      <c r="I509" s="370"/>
      <c r="J509" s="370">
        <f t="shared" si="64"/>
        <v>100</v>
      </c>
    </row>
    <row r="510" spans="1:10" ht="60">
      <c r="A510" s="57" t="s">
        <v>1054</v>
      </c>
      <c r="B510" s="53" t="s">
        <v>418</v>
      </c>
      <c r="C510" s="53" t="s">
        <v>1106</v>
      </c>
      <c r="D510" s="53" t="s">
        <v>1055</v>
      </c>
      <c r="E510" s="53" t="s">
        <v>920</v>
      </c>
      <c r="F510" s="153">
        <f>F511</f>
        <v>0</v>
      </c>
      <c r="G510" s="153">
        <f>G511</f>
        <v>975</v>
      </c>
      <c r="H510" s="153">
        <f>H511</f>
        <v>875</v>
      </c>
      <c r="I510" s="370"/>
      <c r="J510" s="370">
        <f t="shared" si="64"/>
        <v>89.74358974358975</v>
      </c>
    </row>
    <row r="511" spans="1:10" ht="36">
      <c r="A511" s="62" t="s">
        <v>139</v>
      </c>
      <c r="B511" s="53" t="s">
        <v>418</v>
      </c>
      <c r="C511" s="53" t="s">
        <v>1106</v>
      </c>
      <c r="D511" s="53" t="s">
        <v>1055</v>
      </c>
      <c r="E511" s="53" t="s">
        <v>1454</v>
      </c>
      <c r="F511" s="153">
        <f>F512+F513</f>
        <v>0</v>
      </c>
      <c r="G511" s="153">
        <f>G512+G513</f>
        <v>975</v>
      </c>
      <c r="H511" s="153">
        <f>H512+H513</f>
        <v>875</v>
      </c>
      <c r="I511" s="370"/>
      <c r="J511" s="370">
        <f t="shared" si="64"/>
        <v>89.74358974358975</v>
      </c>
    </row>
    <row r="512" spans="1:10" ht="24">
      <c r="A512" s="57" t="s">
        <v>553</v>
      </c>
      <c r="B512" s="53" t="s">
        <v>418</v>
      </c>
      <c r="C512" s="53" t="s">
        <v>1106</v>
      </c>
      <c r="D512" s="53" t="s">
        <v>1055</v>
      </c>
      <c r="E512" s="53" t="s">
        <v>554</v>
      </c>
      <c r="F512" s="60">
        <v>0</v>
      </c>
      <c r="G512" s="60">
        <f>100+75</f>
        <v>175</v>
      </c>
      <c r="H512" s="60">
        <v>75</v>
      </c>
      <c r="I512" s="370"/>
      <c r="J512" s="370">
        <f t="shared" si="64"/>
        <v>42.857142857142854</v>
      </c>
    </row>
    <row r="513" spans="1:10" ht="24">
      <c r="A513" s="57" t="s">
        <v>445</v>
      </c>
      <c r="B513" s="53" t="s">
        <v>418</v>
      </c>
      <c r="C513" s="53" t="s">
        <v>1106</v>
      </c>
      <c r="D513" s="53" t="s">
        <v>1055</v>
      </c>
      <c r="E513" s="53" t="s">
        <v>446</v>
      </c>
      <c r="F513" s="60">
        <v>0</v>
      </c>
      <c r="G513" s="60">
        <v>800</v>
      </c>
      <c r="H513" s="60">
        <v>800</v>
      </c>
      <c r="I513" s="370"/>
      <c r="J513" s="370">
        <f t="shared" si="64"/>
        <v>100</v>
      </c>
    </row>
    <row r="514" spans="1:10" ht="35.25" customHeight="1">
      <c r="A514" s="61" t="s">
        <v>1088</v>
      </c>
      <c r="B514" s="55" t="s">
        <v>418</v>
      </c>
      <c r="C514" s="55" t="s">
        <v>792</v>
      </c>
      <c r="D514" s="53"/>
      <c r="E514" s="53"/>
      <c r="F514" s="153">
        <f aca="true" t="shared" si="65" ref="F514:H515">F515</f>
        <v>300</v>
      </c>
      <c r="G514" s="153">
        <f t="shared" si="65"/>
        <v>300</v>
      </c>
      <c r="H514" s="153">
        <f t="shared" si="65"/>
        <v>256.5</v>
      </c>
      <c r="I514" s="370">
        <f aca="true" t="shared" si="66" ref="I514:I559">H514/F514*100</f>
        <v>85.5</v>
      </c>
      <c r="J514" s="370">
        <f t="shared" si="64"/>
        <v>85.5</v>
      </c>
    </row>
    <row r="515" spans="1:10" ht="35.25" customHeight="1">
      <c r="A515" s="383" t="s">
        <v>1260</v>
      </c>
      <c r="B515" s="55" t="s">
        <v>418</v>
      </c>
      <c r="C515" s="55" t="s">
        <v>792</v>
      </c>
      <c r="D515" s="53" t="s">
        <v>1228</v>
      </c>
      <c r="E515" s="53"/>
      <c r="F515" s="153">
        <f t="shared" si="65"/>
        <v>300</v>
      </c>
      <c r="G515" s="153">
        <f t="shared" si="65"/>
        <v>300</v>
      </c>
      <c r="H515" s="153">
        <f t="shared" si="65"/>
        <v>256.5</v>
      </c>
      <c r="I515" s="370">
        <f t="shared" si="66"/>
        <v>85.5</v>
      </c>
      <c r="J515" s="370">
        <f t="shared" si="64"/>
        <v>85.5</v>
      </c>
    </row>
    <row r="516" spans="1:10" ht="38.25" customHeight="1">
      <c r="A516" s="57" t="s">
        <v>580</v>
      </c>
      <c r="B516" s="55" t="s">
        <v>418</v>
      </c>
      <c r="C516" s="55" t="s">
        <v>792</v>
      </c>
      <c r="D516" s="53" t="s">
        <v>581</v>
      </c>
      <c r="E516" s="53"/>
      <c r="F516" s="153">
        <f>F517+F519</f>
        <v>300</v>
      </c>
      <c r="G516" s="153">
        <f>G517+G519</f>
        <v>300</v>
      </c>
      <c r="H516" s="153">
        <f>H517+H519</f>
        <v>256.5</v>
      </c>
      <c r="I516" s="370">
        <f t="shared" si="66"/>
        <v>85.5</v>
      </c>
      <c r="J516" s="370">
        <f t="shared" si="64"/>
        <v>85.5</v>
      </c>
    </row>
    <row r="517" spans="1:10" ht="64.5" customHeight="1">
      <c r="A517" s="206" t="s">
        <v>63</v>
      </c>
      <c r="B517" s="55" t="s">
        <v>418</v>
      </c>
      <c r="C517" s="55" t="s">
        <v>792</v>
      </c>
      <c r="D517" s="53" t="s">
        <v>582</v>
      </c>
      <c r="E517" s="53" t="s">
        <v>64</v>
      </c>
      <c r="F517" s="153">
        <f>F518</f>
        <v>0</v>
      </c>
      <c r="G517" s="153">
        <f>G518</f>
        <v>5</v>
      </c>
      <c r="H517" s="153">
        <f>H518</f>
        <v>1.3</v>
      </c>
      <c r="I517" s="370"/>
      <c r="J517" s="370">
        <f t="shared" si="64"/>
        <v>26</v>
      </c>
    </row>
    <row r="518" spans="1:10" ht="38.25" customHeight="1">
      <c r="A518" s="57" t="s">
        <v>65</v>
      </c>
      <c r="B518" s="55" t="s">
        <v>418</v>
      </c>
      <c r="C518" s="55" t="s">
        <v>792</v>
      </c>
      <c r="D518" s="53" t="s">
        <v>582</v>
      </c>
      <c r="E518" s="53" t="s">
        <v>527</v>
      </c>
      <c r="F518" s="60">
        <v>0</v>
      </c>
      <c r="G518" s="60">
        <v>5</v>
      </c>
      <c r="H518" s="60">
        <v>1.3</v>
      </c>
      <c r="I518" s="370"/>
      <c r="J518" s="370">
        <f t="shared" si="64"/>
        <v>26</v>
      </c>
    </row>
    <row r="519" spans="1:10" ht="28.5" customHeight="1">
      <c r="A519" s="206" t="s">
        <v>68</v>
      </c>
      <c r="B519" s="55" t="s">
        <v>418</v>
      </c>
      <c r="C519" s="55" t="s">
        <v>792</v>
      </c>
      <c r="D519" s="53" t="s">
        <v>582</v>
      </c>
      <c r="E519" s="53" t="s">
        <v>528</v>
      </c>
      <c r="F519" s="153">
        <f>F520</f>
        <v>300</v>
      </c>
      <c r="G519" s="153">
        <f>G520</f>
        <v>295</v>
      </c>
      <c r="H519" s="153">
        <f>H520</f>
        <v>255.2</v>
      </c>
      <c r="I519" s="370">
        <f t="shared" si="66"/>
        <v>85.06666666666666</v>
      </c>
      <c r="J519" s="370">
        <f t="shared" si="64"/>
        <v>86.50847457627118</v>
      </c>
    </row>
    <row r="520" spans="1:10" ht="28.5" customHeight="1">
      <c r="A520" s="62" t="s">
        <v>822</v>
      </c>
      <c r="B520" s="55" t="s">
        <v>418</v>
      </c>
      <c r="C520" s="55" t="s">
        <v>792</v>
      </c>
      <c r="D520" s="53" t="s">
        <v>582</v>
      </c>
      <c r="E520" s="53" t="s">
        <v>1486</v>
      </c>
      <c r="F520" s="60">
        <v>300</v>
      </c>
      <c r="G520" s="60">
        <f>300-5</f>
        <v>295</v>
      </c>
      <c r="H520" s="60">
        <v>255.2</v>
      </c>
      <c r="I520" s="370">
        <f t="shared" si="66"/>
        <v>85.06666666666666</v>
      </c>
      <c r="J520" s="370">
        <f t="shared" si="64"/>
        <v>86.50847457627118</v>
      </c>
    </row>
    <row r="521" spans="1:10" ht="24">
      <c r="A521" s="61" t="s">
        <v>1089</v>
      </c>
      <c r="B521" s="55" t="s">
        <v>418</v>
      </c>
      <c r="C521" s="55" t="s">
        <v>418</v>
      </c>
      <c r="D521" s="55"/>
      <c r="E521" s="55"/>
      <c r="F521" s="153">
        <f>F522+F537+F544</f>
        <v>49966.9</v>
      </c>
      <c r="G521" s="153">
        <f>G522+G537+G544</f>
        <v>54861</v>
      </c>
      <c r="H521" s="153">
        <f>H522+H537+H544</f>
        <v>54811.1</v>
      </c>
      <c r="I521" s="370">
        <f t="shared" si="66"/>
        <v>109.6948179694958</v>
      </c>
      <c r="J521" s="370">
        <f t="shared" si="64"/>
        <v>99.90904285375768</v>
      </c>
    </row>
    <row r="522" spans="1:10" ht="24">
      <c r="A522" s="383" t="s">
        <v>1260</v>
      </c>
      <c r="B522" s="55" t="s">
        <v>418</v>
      </c>
      <c r="C522" s="55" t="s">
        <v>418</v>
      </c>
      <c r="D522" s="55" t="s">
        <v>1228</v>
      </c>
      <c r="E522" s="55"/>
      <c r="F522" s="153">
        <f>F523</f>
        <v>18500</v>
      </c>
      <c r="G522" s="153">
        <f>G523</f>
        <v>26285</v>
      </c>
      <c r="H522" s="153">
        <f>H523</f>
        <v>26284.9</v>
      </c>
      <c r="I522" s="370">
        <f t="shared" si="66"/>
        <v>142.08054054054057</v>
      </c>
      <c r="J522" s="370">
        <f t="shared" si="64"/>
        <v>99.99961955487922</v>
      </c>
    </row>
    <row r="523" spans="1:10" ht="72">
      <c r="A523" s="64" t="s">
        <v>287</v>
      </c>
      <c r="B523" s="55" t="s">
        <v>418</v>
      </c>
      <c r="C523" s="55" t="s">
        <v>418</v>
      </c>
      <c r="D523" s="55" t="s">
        <v>288</v>
      </c>
      <c r="E523" s="55"/>
      <c r="F523" s="153">
        <f>F524+F528+F530</f>
        <v>18500</v>
      </c>
      <c r="G523" s="153">
        <f>G524+G528+G530</f>
        <v>26285</v>
      </c>
      <c r="H523" s="153">
        <f>H524+H528+H530</f>
        <v>26284.9</v>
      </c>
      <c r="I523" s="370">
        <f t="shared" si="66"/>
        <v>142.08054054054057</v>
      </c>
      <c r="J523" s="370">
        <f t="shared" si="64"/>
        <v>99.99961955487922</v>
      </c>
    </row>
    <row r="524" spans="1:10" ht="84">
      <c r="A524" s="64" t="s">
        <v>583</v>
      </c>
      <c r="B524" s="55" t="s">
        <v>418</v>
      </c>
      <c r="C524" s="55" t="s">
        <v>418</v>
      </c>
      <c r="D524" s="55" t="s">
        <v>584</v>
      </c>
      <c r="E524" s="55"/>
      <c r="F524" s="153">
        <f>F525</f>
        <v>0</v>
      </c>
      <c r="G524" s="153">
        <f>G525</f>
        <v>7785</v>
      </c>
      <c r="H524" s="153">
        <f>H525</f>
        <v>7785</v>
      </c>
      <c r="I524" s="370"/>
      <c r="J524" s="370">
        <f t="shared" si="64"/>
        <v>100</v>
      </c>
    </row>
    <row r="525" spans="1:10" ht="36">
      <c r="A525" s="62" t="s">
        <v>139</v>
      </c>
      <c r="B525" s="55" t="s">
        <v>418</v>
      </c>
      <c r="C525" s="55" t="s">
        <v>418</v>
      </c>
      <c r="D525" s="55" t="s">
        <v>584</v>
      </c>
      <c r="E525" s="55" t="s">
        <v>1454</v>
      </c>
      <c r="F525" s="153">
        <f>F526+F527</f>
        <v>0</v>
      </c>
      <c r="G525" s="153">
        <f>G526+G527</f>
        <v>7785</v>
      </c>
      <c r="H525" s="153">
        <f>H526+H527</f>
        <v>7785</v>
      </c>
      <c r="I525" s="370"/>
      <c r="J525" s="370">
        <f t="shared" si="64"/>
        <v>100</v>
      </c>
    </row>
    <row r="526" spans="1:10" ht="24">
      <c r="A526" s="57" t="s">
        <v>1294</v>
      </c>
      <c r="B526" s="55" t="s">
        <v>418</v>
      </c>
      <c r="C526" s="55" t="s">
        <v>418</v>
      </c>
      <c r="D526" s="55" t="s">
        <v>584</v>
      </c>
      <c r="E526" s="55" t="s">
        <v>554</v>
      </c>
      <c r="F526" s="60">
        <v>0</v>
      </c>
      <c r="G526" s="60">
        <f>2665-1049.9-0.1</f>
        <v>1615</v>
      </c>
      <c r="H526" s="60">
        <f>2665-1049.9-0.1</f>
        <v>1615</v>
      </c>
      <c r="I526" s="370"/>
      <c r="J526" s="370">
        <f t="shared" si="64"/>
        <v>100</v>
      </c>
    </row>
    <row r="527" spans="1:10" ht="24">
      <c r="A527" s="57" t="s">
        <v>585</v>
      </c>
      <c r="B527" s="55" t="s">
        <v>418</v>
      </c>
      <c r="C527" s="55" t="s">
        <v>418</v>
      </c>
      <c r="D527" s="55" t="s">
        <v>584</v>
      </c>
      <c r="E527" s="55" t="s">
        <v>446</v>
      </c>
      <c r="F527" s="60">
        <v>0</v>
      </c>
      <c r="G527" s="60">
        <f>5120+1049.9+0.1</f>
        <v>6170</v>
      </c>
      <c r="H527" s="60">
        <f>5120+1049.9+0.1</f>
        <v>6170</v>
      </c>
      <c r="I527" s="370"/>
      <c r="J527" s="370">
        <f t="shared" si="64"/>
        <v>100</v>
      </c>
    </row>
    <row r="528" spans="1:10" ht="24">
      <c r="A528" s="206" t="s">
        <v>767</v>
      </c>
      <c r="B528" s="55" t="s">
        <v>418</v>
      </c>
      <c r="C528" s="55" t="s">
        <v>418</v>
      </c>
      <c r="D528" s="55" t="s">
        <v>586</v>
      </c>
      <c r="E528" s="55" t="s">
        <v>768</v>
      </c>
      <c r="F528" s="153">
        <f>F529</f>
        <v>0</v>
      </c>
      <c r="G528" s="153">
        <f>G529</f>
        <v>1314.5</v>
      </c>
      <c r="H528" s="153">
        <f>H529</f>
        <v>1314.5</v>
      </c>
      <c r="I528" s="370"/>
      <c r="J528" s="370">
        <f t="shared" si="64"/>
        <v>100</v>
      </c>
    </row>
    <row r="529" spans="1:10" ht="24">
      <c r="A529" s="57" t="s">
        <v>1073</v>
      </c>
      <c r="B529" s="55" t="s">
        <v>418</v>
      </c>
      <c r="C529" s="55" t="s">
        <v>418</v>
      </c>
      <c r="D529" s="55" t="s">
        <v>586</v>
      </c>
      <c r="E529" s="55" t="s">
        <v>1074</v>
      </c>
      <c r="F529" s="60">
        <v>0</v>
      </c>
      <c r="G529" s="60">
        <f>2895-507-800-273.5</f>
        <v>1314.5</v>
      </c>
      <c r="H529" s="60">
        <f>2895-507-800-273.5</f>
        <v>1314.5</v>
      </c>
      <c r="I529" s="370"/>
      <c r="J529" s="370">
        <f t="shared" si="64"/>
        <v>100</v>
      </c>
    </row>
    <row r="530" spans="1:10" ht="36">
      <c r="A530" s="62" t="s">
        <v>139</v>
      </c>
      <c r="B530" s="55" t="s">
        <v>418</v>
      </c>
      <c r="C530" s="55" t="s">
        <v>418</v>
      </c>
      <c r="D530" s="55" t="s">
        <v>586</v>
      </c>
      <c r="E530" s="55" t="s">
        <v>1454</v>
      </c>
      <c r="F530" s="153">
        <f>F531+F534</f>
        <v>18500</v>
      </c>
      <c r="G530" s="153">
        <f>G531+G534</f>
        <v>17185.5</v>
      </c>
      <c r="H530" s="153">
        <f>H531+H534</f>
        <v>17185.4</v>
      </c>
      <c r="I530" s="370">
        <f t="shared" si="66"/>
        <v>92.89405405405407</v>
      </c>
      <c r="J530" s="370">
        <f t="shared" si="64"/>
        <v>99.99941811410783</v>
      </c>
    </row>
    <row r="531" spans="1:10" ht="24">
      <c r="A531" s="57" t="s">
        <v>141</v>
      </c>
      <c r="B531" s="55" t="s">
        <v>418</v>
      </c>
      <c r="C531" s="55" t="s">
        <v>418</v>
      </c>
      <c r="D531" s="55" t="s">
        <v>586</v>
      </c>
      <c r="E531" s="55" t="s">
        <v>554</v>
      </c>
      <c r="F531" s="153">
        <f aca="true" t="shared" si="67" ref="F531:H532">F532</f>
        <v>18500</v>
      </c>
      <c r="G531" s="153">
        <f t="shared" si="67"/>
        <v>6733.9000000000015</v>
      </c>
      <c r="H531" s="153">
        <f t="shared" si="67"/>
        <v>6733.9000000000015</v>
      </c>
      <c r="I531" s="370">
        <f t="shared" si="66"/>
        <v>36.399459459459464</v>
      </c>
      <c r="J531" s="370">
        <f t="shared" si="64"/>
        <v>100</v>
      </c>
    </row>
    <row r="532" spans="1:10" ht="24">
      <c r="A532" s="57" t="s">
        <v>1294</v>
      </c>
      <c r="B532" s="55" t="s">
        <v>418</v>
      </c>
      <c r="C532" s="55" t="s">
        <v>418</v>
      </c>
      <c r="D532" s="55" t="s">
        <v>586</v>
      </c>
      <c r="E532" s="55" t="s">
        <v>554</v>
      </c>
      <c r="F532" s="153">
        <f t="shared" si="67"/>
        <v>18500</v>
      </c>
      <c r="G532" s="153">
        <f t="shared" si="67"/>
        <v>6733.9000000000015</v>
      </c>
      <c r="H532" s="153">
        <f t="shared" si="67"/>
        <v>6733.9000000000015</v>
      </c>
      <c r="I532" s="370">
        <f t="shared" si="66"/>
        <v>36.399459459459464</v>
      </c>
      <c r="J532" s="370">
        <f t="shared" si="64"/>
        <v>100</v>
      </c>
    </row>
    <row r="533" spans="1:10" ht="36">
      <c r="A533" s="57" t="s">
        <v>587</v>
      </c>
      <c r="B533" s="55" t="s">
        <v>418</v>
      </c>
      <c r="C533" s="55" t="s">
        <v>418</v>
      </c>
      <c r="D533" s="55" t="s">
        <v>586</v>
      </c>
      <c r="E533" s="55" t="s">
        <v>554</v>
      </c>
      <c r="F533" s="60">
        <v>18500</v>
      </c>
      <c r="G533" s="60">
        <f>18500-200.1-120.5-12595+2200-383-667.4-0.1</f>
        <v>6733.9000000000015</v>
      </c>
      <c r="H533" s="60">
        <f>18500-200.1-120.5-12595+2200-383-667.4-0.1</f>
        <v>6733.9000000000015</v>
      </c>
      <c r="I533" s="370">
        <f t="shared" si="66"/>
        <v>36.399459459459464</v>
      </c>
      <c r="J533" s="370">
        <f t="shared" si="64"/>
        <v>100</v>
      </c>
    </row>
    <row r="534" spans="1:10" ht="24">
      <c r="A534" s="57" t="s">
        <v>1237</v>
      </c>
      <c r="B534" s="55" t="s">
        <v>418</v>
      </c>
      <c r="C534" s="55" t="s">
        <v>418</v>
      </c>
      <c r="D534" s="55" t="s">
        <v>586</v>
      </c>
      <c r="E534" s="55" t="s">
        <v>446</v>
      </c>
      <c r="F534" s="153">
        <f aca="true" t="shared" si="68" ref="F534:H535">F535</f>
        <v>0</v>
      </c>
      <c r="G534" s="153">
        <f t="shared" si="68"/>
        <v>10451.6</v>
      </c>
      <c r="H534" s="153">
        <f t="shared" si="68"/>
        <v>10451.5</v>
      </c>
      <c r="I534" s="370"/>
      <c r="J534" s="370">
        <f t="shared" si="64"/>
        <v>99.99904320869531</v>
      </c>
    </row>
    <row r="535" spans="1:10" ht="24">
      <c r="A535" s="57" t="s">
        <v>585</v>
      </c>
      <c r="B535" s="55" t="s">
        <v>418</v>
      </c>
      <c r="C535" s="55" t="s">
        <v>418</v>
      </c>
      <c r="D535" s="55" t="s">
        <v>586</v>
      </c>
      <c r="E535" s="55" t="s">
        <v>446</v>
      </c>
      <c r="F535" s="153">
        <f t="shared" si="68"/>
        <v>0</v>
      </c>
      <c r="G535" s="153">
        <f t="shared" si="68"/>
        <v>10451.6</v>
      </c>
      <c r="H535" s="153">
        <f t="shared" si="68"/>
        <v>10451.5</v>
      </c>
      <c r="I535" s="370"/>
      <c r="J535" s="370">
        <f t="shared" si="64"/>
        <v>99.99904320869531</v>
      </c>
    </row>
    <row r="536" spans="1:10" ht="36">
      <c r="A536" s="57" t="s">
        <v>588</v>
      </c>
      <c r="B536" s="55" t="s">
        <v>418</v>
      </c>
      <c r="C536" s="55" t="s">
        <v>418</v>
      </c>
      <c r="D536" s="55" t="s">
        <v>586</v>
      </c>
      <c r="E536" s="55" t="s">
        <v>446</v>
      </c>
      <c r="F536" s="60">
        <v>0</v>
      </c>
      <c r="G536" s="60">
        <f>200.1+120.5+9630-2200+960+667.4+0.1+800+273.5</f>
        <v>10451.6</v>
      </c>
      <c r="H536" s="60">
        <v>10451.5</v>
      </c>
      <c r="I536" s="370"/>
      <c r="J536" s="370">
        <f t="shared" si="64"/>
        <v>99.99904320869531</v>
      </c>
    </row>
    <row r="537" spans="1:10" ht="24">
      <c r="A537" s="56" t="s">
        <v>589</v>
      </c>
      <c r="B537" s="55" t="s">
        <v>418</v>
      </c>
      <c r="C537" s="55" t="s">
        <v>418</v>
      </c>
      <c r="D537" s="55" t="s">
        <v>590</v>
      </c>
      <c r="E537" s="55"/>
      <c r="F537" s="153">
        <f aca="true" t="shared" si="69" ref="F537:H539">F538</f>
        <v>31466.9</v>
      </c>
      <c r="G537" s="153">
        <f t="shared" si="69"/>
        <v>27876</v>
      </c>
      <c r="H537" s="153">
        <f t="shared" si="69"/>
        <v>27826.199999999997</v>
      </c>
      <c r="I537" s="370">
        <f t="shared" si="66"/>
        <v>88.43006460757175</v>
      </c>
      <c r="J537" s="370">
        <f t="shared" si="64"/>
        <v>99.82135170038742</v>
      </c>
    </row>
    <row r="538" spans="1:10" ht="24">
      <c r="A538" s="57" t="s">
        <v>591</v>
      </c>
      <c r="B538" s="55" t="s">
        <v>418</v>
      </c>
      <c r="C538" s="55" t="s">
        <v>418</v>
      </c>
      <c r="D538" s="55" t="s">
        <v>592</v>
      </c>
      <c r="E538" s="55"/>
      <c r="F538" s="153">
        <f t="shared" si="69"/>
        <v>31466.9</v>
      </c>
      <c r="G538" s="153">
        <f t="shared" si="69"/>
        <v>27876</v>
      </c>
      <c r="H538" s="153">
        <f t="shared" si="69"/>
        <v>27826.199999999997</v>
      </c>
      <c r="I538" s="370">
        <f t="shared" si="66"/>
        <v>88.43006460757175</v>
      </c>
      <c r="J538" s="370">
        <f t="shared" si="64"/>
        <v>99.82135170038742</v>
      </c>
    </row>
    <row r="539" spans="1:10" ht="36">
      <c r="A539" s="62" t="s">
        <v>139</v>
      </c>
      <c r="B539" s="55" t="s">
        <v>418</v>
      </c>
      <c r="C539" s="55" t="s">
        <v>418</v>
      </c>
      <c r="D539" s="55" t="s">
        <v>593</v>
      </c>
      <c r="E539" s="55" t="s">
        <v>1454</v>
      </c>
      <c r="F539" s="153">
        <f t="shared" si="69"/>
        <v>31466.9</v>
      </c>
      <c r="G539" s="153">
        <f t="shared" si="69"/>
        <v>27876</v>
      </c>
      <c r="H539" s="153">
        <f t="shared" si="69"/>
        <v>27826.199999999997</v>
      </c>
      <c r="I539" s="370">
        <f t="shared" si="66"/>
        <v>88.43006460757175</v>
      </c>
      <c r="J539" s="370">
        <f t="shared" si="64"/>
        <v>99.82135170038742</v>
      </c>
    </row>
    <row r="540" spans="1:10" ht="24">
      <c r="A540" s="57" t="s">
        <v>141</v>
      </c>
      <c r="B540" s="55" t="s">
        <v>418</v>
      </c>
      <c r="C540" s="55" t="s">
        <v>418</v>
      </c>
      <c r="D540" s="55" t="s">
        <v>593</v>
      </c>
      <c r="E540" s="55" t="s">
        <v>554</v>
      </c>
      <c r="F540" s="60">
        <v>31466.9</v>
      </c>
      <c r="G540" s="60">
        <f>28666.9+2800-2083.9+275+18-1450+150-500</f>
        <v>27876</v>
      </c>
      <c r="H540" s="60">
        <f>24585.6+H541+H542+H543</f>
        <v>27826.199999999997</v>
      </c>
      <c r="I540" s="370">
        <f t="shared" si="66"/>
        <v>88.43006460757175</v>
      </c>
      <c r="J540" s="370">
        <f t="shared" si="64"/>
        <v>99.82135170038742</v>
      </c>
    </row>
    <row r="541" spans="1:10" ht="36">
      <c r="A541" s="57" t="s">
        <v>594</v>
      </c>
      <c r="B541" s="55" t="s">
        <v>418</v>
      </c>
      <c r="C541" s="55" t="s">
        <v>418</v>
      </c>
      <c r="D541" s="55" t="s">
        <v>593</v>
      </c>
      <c r="E541" s="55" t="s">
        <v>554</v>
      </c>
      <c r="F541" s="60">
        <f>2800</f>
        <v>2800</v>
      </c>
      <c r="G541" s="60">
        <f>2800+275</f>
        <v>3075</v>
      </c>
      <c r="H541" s="60">
        <v>3074.5</v>
      </c>
      <c r="I541" s="370">
        <f t="shared" si="66"/>
        <v>109.80357142857142</v>
      </c>
      <c r="J541" s="370">
        <f t="shared" si="64"/>
        <v>99.98373983739837</v>
      </c>
    </row>
    <row r="542" spans="1:10" ht="24">
      <c r="A542" s="57" t="s">
        <v>1268</v>
      </c>
      <c r="B542" s="55" t="s">
        <v>418</v>
      </c>
      <c r="C542" s="55" t="s">
        <v>418</v>
      </c>
      <c r="D542" s="55" t="s">
        <v>593</v>
      </c>
      <c r="E542" s="55" t="s">
        <v>554</v>
      </c>
      <c r="F542" s="60">
        <v>0</v>
      </c>
      <c r="G542" s="60">
        <f>18+8</f>
        <v>26</v>
      </c>
      <c r="H542" s="60">
        <v>25.3</v>
      </c>
      <c r="I542" s="370"/>
      <c r="J542" s="370">
        <f t="shared" si="64"/>
        <v>97.3076923076923</v>
      </c>
    </row>
    <row r="543" spans="1:10" ht="24">
      <c r="A543" s="57" t="s">
        <v>595</v>
      </c>
      <c r="B543" s="55" t="s">
        <v>418</v>
      </c>
      <c r="C543" s="55" t="s">
        <v>418</v>
      </c>
      <c r="D543" s="55" t="s">
        <v>593</v>
      </c>
      <c r="E543" s="55" t="s">
        <v>554</v>
      </c>
      <c r="F543" s="60">
        <v>0</v>
      </c>
      <c r="G543" s="60">
        <v>150</v>
      </c>
      <c r="H543" s="60">
        <v>140.8</v>
      </c>
      <c r="I543" s="370"/>
      <c r="J543" s="370">
        <f t="shared" si="64"/>
        <v>93.86666666666667</v>
      </c>
    </row>
    <row r="544" spans="1:10" ht="60">
      <c r="A544" s="57" t="s">
        <v>1054</v>
      </c>
      <c r="B544" s="55" t="s">
        <v>418</v>
      </c>
      <c r="C544" s="55" t="s">
        <v>418</v>
      </c>
      <c r="D544" s="55" t="s">
        <v>1055</v>
      </c>
      <c r="E544" s="55" t="s">
        <v>920</v>
      </c>
      <c r="F544" s="153">
        <f aca="true" t="shared" si="70" ref="F544:H545">F545</f>
        <v>0</v>
      </c>
      <c r="G544" s="153">
        <f t="shared" si="70"/>
        <v>700</v>
      </c>
      <c r="H544" s="153">
        <f t="shared" si="70"/>
        <v>700</v>
      </c>
      <c r="I544" s="370"/>
      <c r="J544" s="370">
        <f t="shared" si="64"/>
        <v>100</v>
      </c>
    </row>
    <row r="545" spans="1:10" ht="36">
      <c r="A545" s="62" t="s">
        <v>139</v>
      </c>
      <c r="B545" s="55" t="s">
        <v>418</v>
      </c>
      <c r="C545" s="55" t="s">
        <v>418</v>
      </c>
      <c r="D545" s="55" t="s">
        <v>1055</v>
      </c>
      <c r="E545" s="55" t="s">
        <v>1454</v>
      </c>
      <c r="F545" s="153">
        <f t="shared" si="70"/>
        <v>0</v>
      </c>
      <c r="G545" s="153">
        <f t="shared" si="70"/>
        <v>700</v>
      </c>
      <c r="H545" s="153">
        <f t="shared" si="70"/>
        <v>700</v>
      </c>
      <c r="I545" s="370"/>
      <c r="J545" s="370">
        <f t="shared" si="64"/>
        <v>100</v>
      </c>
    </row>
    <row r="546" spans="1:10" ht="24">
      <c r="A546" s="57" t="s">
        <v>553</v>
      </c>
      <c r="B546" s="55" t="s">
        <v>418</v>
      </c>
      <c r="C546" s="55" t="s">
        <v>418</v>
      </c>
      <c r="D546" s="55" t="s">
        <v>1055</v>
      </c>
      <c r="E546" s="55" t="s">
        <v>554</v>
      </c>
      <c r="F546" s="60">
        <v>0</v>
      </c>
      <c r="G546" s="60">
        <v>700</v>
      </c>
      <c r="H546" s="60">
        <v>700</v>
      </c>
      <c r="I546" s="370"/>
      <c r="J546" s="370">
        <f t="shared" si="64"/>
        <v>100</v>
      </c>
    </row>
    <row r="547" spans="1:14" ht="15.75">
      <c r="A547" s="65" t="s">
        <v>407</v>
      </c>
      <c r="B547" s="55" t="s">
        <v>418</v>
      </c>
      <c r="C547" s="55" t="s">
        <v>1291</v>
      </c>
      <c r="D547" s="55"/>
      <c r="E547" s="55"/>
      <c r="F547" s="153">
        <f>F548</f>
        <v>132189</v>
      </c>
      <c r="G547" s="153">
        <f>G548</f>
        <v>116784.7</v>
      </c>
      <c r="H547" s="153">
        <f>H548</f>
        <v>110583.1</v>
      </c>
      <c r="I547" s="370">
        <f t="shared" si="66"/>
        <v>83.65529658292294</v>
      </c>
      <c r="J547" s="370">
        <f t="shared" si="64"/>
        <v>94.68971534798652</v>
      </c>
      <c r="K547" s="391"/>
      <c r="L547" s="392"/>
      <c r="M547" s="391"/>
      <c r="N547" s="391"/>
    </row>
    <row r="548" spans="1:14" ht="24">
      <c r="A548" s="383" t="s">
        <v>1260</v>
      </c>
      <c r="B548" s="55" t="s">
        <v>418</v>
      </c>
      <c r="C548" s="55" t="s">
        <v>1291</v>
      </c>
      <c r="D548" s="55" t="s">
        <v>1228</v>
      </c>
      <c r="E548" s="55"/>
      <c r="F548" s="153">
        <f>F549+F558</f>
        <v>132189</v>
      </c>
      <c r="G548" s="153">
        <f>G549+G558</f>
        <v>116784.7</v>
      </c>
      <c r="H548" s="153">
        <f>H549+H558</f>
        <v>110583.1</v>
      </c>
      <c r="I548" s="370">
        <f t="shared" si="66"/>
        <v>83.65529658292294</v>
      </c>
      <c r="J548" s="370">
        <f t="shared" si="64"/>
        <v>94.68971534798652</v>
      </c>
      <c r="K548" s="391"/>
      <c r="L548" s="392"/>
      <c r="M548" s="391"/>
      <c r="N548" s="391"/>
    </row>
    <row r="549" spans="1:14" ht="36">
      <c r="A549" s="57" t="s">
        <v>580</v>
      </c>
      <c r="B549" s="55" t="s">
        <v>418</v>
      </c>
      <c r="C549" s="55" t="s">
        <v>1291</v>
      </c>
      <c r="D549" s="55" t="s">
        <v>581</v>
      </c>
      <c r="E549" s="55"/>
      <c r="F549" s="153">
        <f>F550+F569</f>
        <v>99678</v>
      </c>
      <c r="G549" s="153">
        <f>G550+G569</f>
        <v>102938.7</v>
      </c>
      <c r="H549" s="153">
        <f>H550+H569</f>
        <v>99292</v>
      </c>
      <c r="I549" s="370">
        <f t="shared" si="66"/>
        <v>99.61275306486887</v>
      </c>
      <c r="J549" s="370">
        <f t="shared" si="64"/>
        <v>96.45740620388639</v>
      </c>
      <c r="K549" s="391"/>
      <c r="L549" s="392"/>
      <c r="M549" s="391"/>
      <c r="N549" s="391"/>
    </row>
    <row r="550" spans="1:10" ht="48">
      <c r="A550" s="62" t="s">
        <v>1107</v>
      </c>
      <c r="B550" s="55" t="s">
        <v>418</v>
      </c>
      <c r="C550" s="55" t="s">
        <v>1291</v>
      </c>
      <c r="D550" s="55" t="s">
        <v>596</v>
      </c>
      <c r="E550" s="55"/>
      <c r="F550" s="153">
        <f>F551</f>
        <v>30071</v>
      </c>
      <c r="G550" s="153">
        <f>G551</f>
        <v>30071</v>
      </c>
      <c r="H550" s="153">
        <f>H551</f>
        <v>27950.6</v>
      </c>
      <c r="I550" s="370">
        <f t="shared" si="66"/>
        <v>92.94868810481859</v>
      </c>
      <c r="J550" s="370">
        <f t="shared" si="64"/>
        <v>92.94868810481859</v>
      </c>
    </row>
    <row r="551" spans="1:10" ht="21" customHeight="1">
      <c r="A551" s="57" t="s">
        <v>531</v>
      </c>
      <c r="B551" s="55" t="s">
        <v>418</v>
      </c>
      <c r="C551" s="55" t="s">
        <v>1291</v>
      </c>
      <c r="D551" s="55" t="s">
        <v>596</v>
      </c>
      <c r="E551" s="55" t="s">
        <v>920</v>
      </c>
      <c r="F551" s="153">
        <f>F552+F554+F556</f>
        <v>30071</v>
      </c>
      <c r="G551" s="153">
        <f>G552+G554+G556</f>
        <v>30071</v>
      </c>
      <c r="H551" s="153">
        <f>H552+H554+H556</f>
        <v>27950.6</v>
      </c>
      <c r="I551" s="370">
        <f t="shared" si="66"/>
        <v>92.94868810481859</v>
      </c>
      <c r="J551" s="370">
        <f t="shared" si="64"/>
        <v>92.94868810481859</v>
      </c>
    </row>
    <row r="552" spans="1:10" ht="79.5" customHeight="1">
      <c r="A552" s="206" t="s">
        <v>63</v>
      </c>
      <c r="B552" s="55" t="s">
        <v>418</v>
      </c>
      <c r="C552" s="55" t="s">
        <v>1291</v>
      </c>
      <c r="D552" s="55" t="s">
        <v>596</v>
      </c>
      <c r="E552" s="55" t="s">
        <v>64</v>
      </c>
      <c r="F552" s="153">
        <f>F553</f>
        <v>26766</v>
      </c>
      <c r="G552" s="153">
        <f>G553</f>
        <v>26766</v>
      </c>
      <c r="H552" s="153">
        <f>H553</f>
        <v>24826.8</v>
      </c>
      <c r="I552" s="370">
        <f t="shared" si="66"/>
        <v>92.7549876709258</v>
      </c>
      <c r="J552" s="370">
        <f t="shared" si="64"/>
        <v>92.7549876709258</v>
      </c>
    </row>
    <row r="553" spans="1:10" ht="24">
      <c r="A553" s="57" t="s">
        <v>65</v>
      </c>
      <c r="B553" s="55" t="s">
        <v>418</v>
      </c>
      <c r="C553" s="55" t="s">
        <v>1291</v>
      </c>
      <c r="D553" s="55" t="s">
        <v>596</v>
      </c>
      <c r="E553" s="55" t="s">
        <v>527</v>
      </c>
      <c r="F553" s="60">
        <v>26766</v>
      </c>
      <c r="G553" s="60">
        <v>26766</v>
      </c>
      <c r="H553" s="60">
        <v>24826.8</v>
      </c>
      <c r="I553" s="370">
        <f t="shared" si="66"/>
        <v>92.7549876709258</v>
      </c>
      <c r="J553" s="370">
        <f t="shared" si="64"/>
        <v>92.7549876709258</v>
      </c>
    </row>
    <row r="554" spans="1:10" ht="24">
      <c r="A554" s="206" t="s">
        <v>68</v>
      </c>
      <c r="B554" s="55" t="s">
        <v>418</v>
      </c>
      <c r="C554" s="55" t="s">
        <v>1291</v>
      </c>
      <c r="D554" s="55" t="s">
        <v>596</v>
      </c>
      <c r="E554" s="55" t="s">
        <v>528</v>
      </c>
      <c r="F554" s="153">
        <f>F555</f>
        <v>3245</v>
      </c>
      <c r="G554" s="153">
        <f>G555</f>
        <v>3245</v>
      </c>
      <c r="H554" s="153">
        <f>H555</f>
        <v>3091</v>
      </c>
      <c r="I554" s="370">
        <f t="shared" si="66"/>
        <v>95.25423728813558</v>
      </c>
      <c r="J554" s="370">
        <f t="shared" si="64"/>
        <v>95.25423728813558</v>
      </c>
    </row>
    <row r="555" spans="1:10" ht="24">
      <c r="A555" s="206" t="s">
        <v>710</v>
      </c>
      <c r="B555" s="55" t="s">
        <v>418</v>
      </c>
      <c r="C555" s="55" t="s">
        <v>1291</v>
      </c>
      <c r="D555" s="55" t="s">
        <v>596</v>
      </c>
      <c r="E555" s="55" t="s">
        <v>1486</v>
      </c>
      <c r="F555" s="60">
        <v>3245</v>
      </c>
      <c r="G555" s="60">
        <v>3245</v>
      </c>
      <c r="H555" s="60">
        <v>3091</v>
      </c>
      <c r="I555" s="370">
        <f t="shared" si="66"/>
        <v>95.25423728813558</v>
      </c>
      <c r="J555" s="370">
        <f t="shared" si="64"/>
        <v>95.25423728813558</v>
      </c>
    </row>
    <row r="556" spans="1:10" ht="24">
      <c r="A556" s="206" t="s">
        <v>793</v>
      </c>
      <c r="B556" s="55" t="s">
        <v>418</v>
      </c>
      <c r="C556" s="55" t="s">
        <v>1291</v>
      </c>
      <c r="D556" s="55" t="s">
        <v>596</v>
      </c>
      <c r="E556" s="55" t="s">
        <v>794</v>
      </c>
      <c r="F556" s="153">
        <f>F557</f>
        <v>60</v>
      </c>
      <c r="G556" s="153">
        <f>G557</f>
        <v>60</v>
      </c>
      <c r="H556" s="153">
        <f>H557</f>
        <v>32.8</v>
      </c>
      <c r="I556" s="370">
        <f t="shared" si="66"/>
        <v>54.666666666666664</v>
      </c>
      <c r="J556" s="370">
        <f t="shared" si="64"/>
        <v>54.666666666666664</v>
      </c>
    </row>
    <row r="557" spans="1:10" ht="24">
      <c r="A557" s="206" t="s">
        <v>70</v>
      </c>
      <c r="B557" s="55" t="s">
        <v>418</v>
      </c>
      <c r="C557" s="55" t="s">
        <v>1291</v>
      </c>
      <c r="D557" s="55" t="s">
        <v>596</v>
      </c>
      <c r="E557" s="55" t="s">
        <v>71</v>
      </c>
      <c r="F557" s="60">
        <v>60</v>
      </c>
      <c r="G557" s="60">
        <v>60</v>
      </c>
      <c r="H557" s="60">
        <v>32.8</v>
      </c>
      <c r="I557" s="370">
        <f t="shared" si="66"/>
        <v>54.666666666666664</v>
      </c>
      <c r="J557" s="370">
        <f t="shared" si="64"/>
        <v>54.666666666666664</v>
      </c>
    </row>
    <row r="558" spans="1:10" ht="37.5" customHeight="1">
      <c r="A558" s="386" t="s">
        <v>1261</v>
      </c>
      <c r="B558" s="53" t="s">
        <v>418</v>
      </c>
      <c r="C558" s="53" t="s">
        <v>1291</v>
      </c>
      <c r="D558" s="53" t="s">
        <v>1262</v>
      </c>
      <c r="E558" s="53"/>
      <c r="F558" s="153">
        <f>F559+F564+F562+F567</f>
        <v>32511</v>
      </c>
      <c r="G558" s="153">
        <f>G559+G564+G562+G567</f>
        <v>13846</v>
      </c>
      <c r="H558" s="153">
        <f>H559+H564+H562+H567</f>
        <v>11291.1</v>
      </c>
      <c r="I558" s="370">
        <f t="shared" si="66"/>
        <v>34.73009135369568</v>
      </c>
      <c r="J558" s="370">
        <f t="shared" si="64"/>
        <v>81.54773941932689</v>
      </c>
    </row>
    <row r="559" spans="1:10" ht="137.25" customHeight="1">
      <c r="A559" s="389" t="s">
        <v>1295</v>
      </c>
      <c r="B559" s="53" t="s">
        <v>418</v>
      </c>
      <c r="C559" s="53" t="s">
        <v>1291</v>
      </c>
      <c r="D559" s="53" t="s">
        <v>1296</v>
      </c>
      <c r="E559" s="53" t="s">
        <v>920</v>
      </c>
      <c r="F559" s="153">
        <f>F561</f>
        <v>18022</v>
      </c>
      <c r="G559" s="153">
        <f>G561</f>
        <v>0</v>
      </c>
      <c r="H559" s="153">
        <f>H561</f>
        <v>0</v>
      </c>
      <c r="I559" s="370">
        <f t="shared" si="66"/>
        <v>0</v>
      </c>
      <c r="J559" s="370"/>
    </row>
    <row r="560" spans="1:10" ht="36">
      <c r="A560" s="62" t="s">
        <v>139</v>
      </c>
      <c r="B560" s="53" t="s">
        <v>418</v>
      </c>
      <c r="C560" s="53" t="s">
        <v>1291</v>
      </c>
      <c r="D560" s="53" t="s">
        <v>1296</v>
      </c>
      <c r="E560" s="53" t="s">
        <v>1454</v>
      </c>
      <c r="F560" s="153">
        <f>F561</f>
        <v>18022</v>
      </c>
      <c r="G560" s="153">
        <f>G561</f>
        <v>0</v>
      </c>
      <c r="H560" s="153">
        <f>H561</f>
        <v>0</v>
      </c>
      <c r="I560" s="370">
        <f aca="true" t="shared" si="71" ref="I560:I607">H560/F560*100</f>
        <v>0</v>
      </c>
      <c r="J560" s="370"/>
    </row>
    <row r="561" spans="1:10" ht="37.5" customHeight="1">
      <c r="A561" s="390" t="s">
        <v>403</v>
      </c>
      <c r="B561" s="53" t="s">
        <v>418</v>
      </c>
      <c r="C561" s="53" t="s">
        <v>1291</v>
      </c>
      <c r="D561" s="53" t="s">
        <v>1296</v>
      </c>
      <c r="E561" s="53" t="s">
        <v>404</v>
      </c>
      <c r="F561" s="60">
        <v>18022</v>
      </c>
      <c r="G561" s="60"/>
      <c r="H561" s="60"/>
      <c r="I561" s="370">
        <f t="shared" si="71"/>
        <v>0</v>
      </c>
      <c r="J561" s="370"/>
    </row>
    <row r="562" spans="1:10" ht="37.5" customHeight="1">
      <c r="A562" s="62" t="s">
        <v>139</v>
      </c>
      <c r="B562" s="53" t="s">
        <v>418</v>
      </c>
      <c r="C562" s="53" t="s">
        <v>1291</v>
      </c>
      <c r="D562" s="53" t="s">
        <v>1301</v>
      </c>
      <c r="E562" s="53" t="s">
        <v>1454</v>
      </c>
      <c r="F562" s="153">
        <f>F563</f>
        <v>643</v>
      </c>
      <c r="G562" s="153">
        <f>G563</f>
        <v>0</v>
      </c>
      <c r="H562" s="153">
        <f>H563</f>
        <v>0</v>
      </c>
      <c r="I562" s="370">
        <f t="shared" si="71"/>
        <v>0</v>
      </c>
      <c r="J562" s="370"/>
    </row>
    <row r="563" spans="1:10" ht="88.5" customHeight="1">
      <c r="A563" s="393" t="s">
        <v>597</v>
      </c>
      <c r="B563" s="53" t="s">
        <v>418</v>
      </c>
      <c r="C563" s="53" t="s">
        <v>1291</v>
      </c>
      <c r="D563" s="53" t="s">
        <v>1301</v>
      </c>
      <c r="E563" s="53" t="s">
        <v>404</v>
      </c>
      <c r="F563" s="60">
        <v>643</v>
      </c>
      <c r="G563" s="60"/>
      <c r="H563" s="60"/>
      <c r="I563" s="370">
        <f t="shared" si="71"/>
        <v>0</v>
      </c>
      <c r="J563" s="370"/>
    </row>
    <row r="564" spans="1:10" ht="180">
      <c r="A564" s="390" t="s">
        <v>598</v>
      </c>
      <c r="B564" s="53" t="s">
        <v>418</v>
      </c>
      <c r="C564" s="53" t="s">
        <v>1291</v>
      </c>
      <c r="D564" s="53" t="s">
        <v>994</v>
      </c>
      <c r="E564" s="53" t="s">
        <v>920</v>
      </c>
      <c r="F564" s="153">
        <f aca="true" t="shared" si="72" ref="F564:H565">F565</f>
        <v>3657</v>
      </c>
      <c r="G564" s="153">
        <f t="shared" si="72"/>
        <v>3657</v>
      </c>
      <c r="H564" s="153">
        <f t="shared" si="72"/>
        <v>1258.1</v>
      </c>
      <c r="I564" s="370">
        <f t="shared" si="71"/>
        <v>34.40251572327044</v>
      </c>
      <c r="J564" s="370">
        <f aca="true" t="shared" si="73" ref="J564:J607">H564/G564*100</f>
        <v>34.40251572327044</v>
      </c>
    </row>
    <row r="565" spans="1:10" ht="36">
      <c r="A565" s="62" t="s">
        <v>139</v>
      </c>
      <c r="B565" s="53" t="s">
        <v>418</v>
      </c>
      <c r="C565" s="53" t="s">
        <v>1291</v>
      </c>
      <c r="D565" s="53" t="s">
        <v>994</v>
      </c>
      <c r="E565" s="53" t="s">
        <v>1454</v>
      </c>
      <c r="F565" s="153">
        <f t="shared" si="72"/>
        <v>3657</v>
      </c>
      <c r="G565" s="153">
        <f t="shared" si="72"/>
        <v>3657</v>
      </c>
      <c r="H565" s="153">
        <f t="shared" si="72"/>
        <v>1258.1</v>
      </c>
      <c r="I565" s="370">
        <f t="shared" si="71"/>
        <v>34.40251572327044</v>
      </c>
      <c r="J565" s="370">
        <f t="shared" si="73"/>
        <v>34.40251572327044</v>
      </c>
    </row>
    <row r="566" spans="1:10" ht="24">
      <c r="A566" s="57" t="s">
        <v>445</v>
      </c>
      <c r="B566" s="53" t="s">
        <v>418</v>
      </c>
      <c r="C566" s="53" t="s">
        <v>1291</v>
      </c>
      <c r="D566" s="53" t="s">
        <v>994</v>
      </c>
      <c r="E566" s="53" t="s">
        <v>446</v>
      </c>
      <c r="F566" s="60">
        <v>3657</v>
      </c>
      <c r="G566" s="60">
        <v>3657</v>
      </c>
      <c r="H566" s="60">
        <v>1258.1</v>
      </c>
      <c r="I566" s="370">
        <f t="shared" si="71"/>
        <v>34.40251572327044</v>
      </c>
      <c r="J566" s="370">
        <f t="shared" si="73"/>
        <v>34.40251572327044</v>
      </c>
    </row>
    <row r="567" spans="1:10" ht="36">
      <c r="A567" s="62" t="s">
        <v>139</v>
      </c>
      <c r="B567" s="53" t="s">
        <v>418</v>
      </c>
      <c r="C567" s="53" t="s">
        <v>1291</v>
      </c>
      <c r="D567" s="53" t="s">
        <v>599</v>
      </c>
      <c r="E567" s="53" t="s">
        <v>1454</v>
      </c>
      <c r="F567" s="153">
        <f>F568</f>
        <v>10189</v>
      </c>
      <c r="G567" s="153">
        <f>G568</f>
        <v>10189</v>
      </c>
      <c r="H567" s="153">
        <f>H568</f>
        <v>10033</v>
      </c>
      <c r="I567" s="370">
        <f t="shared" si="71"/>
        <v>98.46893708901757</v>
      </c>
      <c r="J567" s="370">
        <f t="shared" si="73"/>
        <v>98.46893708901757</v>
      </c>
    </row>
    <row r="568" spans="1:10" ht="24">
      <c r="A568" s="57" t="s">
        <v>445</v>
      </c>
      <c r="B568" s="53" t="s">
        <v>418</v>
      </c>
      <c r="C568" s="53" t="s">
        <v>1291</v>
      </c>
      <c r="D568" s="53" t="s">
        <v>599</v>
      </c>
      <c r="E568" s="53" t="s">
        <v>446</v>
      </c>
      <c r="F568" s="60">
        <f>10189</f>
        <v>10189</v>
      </c>
      <c r="G568" s="60">
        <f>10189</f>
        <v>10189</v>
      </c>
      <c r="H568" s="60">
        <v>10033</v>
      </c>
      <c r="I568" s="370">
        <f t="shared" si="71"/>
        <v>98.46893708901757</v>
      </c>
      <c r="J568" s="370">
        <f t="shared" si="73"/>
        <v>98.46893708901757</v>
      </c>
    </row>
    <row r="569" spans="1:10" ht="36">
      <c r="A569" s="57" t="s">
        <v>580</v>
      </c>
      <c r="B569" s="53" t="s">
        <v>418</v>
      </c>
      <c r="C569" s="53" t="s">
        <v>1291</v>
      </c>
      <c r="D569" s="53" t="s">
        <v>581</v>
      </c>
      <c r="E569" s="53"/>
      <c r="F569" s="153">
        <f>F570+F573+F576</f>
        <v>69607</v>
      </c>
      <c r="G569" s="153">
        <f>G570+G573+G576</f>
        <v>72867.7</v>
      </c>
      <c r="H569" s="153">
        <f>H570+H573+H576</f>
        <v>71341.4</v>
      </c>
      <c r="I569" s="370">
        <f t="shared" si="71"/>
        <v>102.49170342063299</v>
      </c>
      <c r="J569" s="370">
        <f t="shared" si="73"/>
        <v>97.90538194563571</v>
      </c>
    </row>
    <row r="570" spans="1:10" ht="107.25" customHeight="1">
      <c r="A570" s="73" t="s">
        <v>600</v>
      </c>
      <c r="B570" s="53" t="s">
        <v>418</v>
      </c>
      <c r="C570" s="53" t="s">
        <v>1291</v>
      </c>
      <c r="D570" s="53" t="s">
        <v>601</v>
      </c>
      <c r="E570" s="53" t="s">
        <v>920</v>
      </c>
      <c r="F570" s="153">
        <f aca="true" t="shared" si="74" ref="F570:H571">F571</f>
        <v>1704</v>
      </c>
      <c r="G570" s="153">
        <f t="shared" si="74"/>
        <v>1607</v>
      </c>
      <c r="H570" s="153">
        <f t="shared" si="74"/>
        <v>1448.3</v>
      </c>
      <c r="I570" s="370">
        <f t="shared" si="71"/>
        <v>84.99413145539906</v>
      </c>
      <c r="J570" s="370">
        <f t="shared" si="73"/>
        <v>90.12445550715618</v>
      </c>
    </row>
    <row r="571" spans="1:10" ht="42" customHeight="1">
      <c r="A571" s="62" t="s">
        <v>139</v>
      </c>
      <c r="B571" s="53" t="s">
        <v>418</v>
      </c>
      <c r="C571" s="53" t="s">
        <v>1291</v>
      </c>
      <c r="D571" s="53" t="s">
        <v>601</v>
      </c>
      <c r="E571" s="53" t="s">
        <v>1454</v>
      </c>
      <c r="F571" s="153">
        <f t="shared" si="74"/>
        <v>1704</v>
      </c>
      <c r="G571" s="153">
        <f t="shared" si="74"/>
        <v>1607</v>
      </c>
      <c r="H571" s="153">
        <f t="shared" si="74"/>
        <v>1448.3</v>
      </c>
      <c r="I571" s="370">
        <f t="shared" si="71"/>
        <v>84.99413145539906</v>
      </c>
      <c r="J571" s="370">
        <f t="shared" si="73"/>
        <v>90.12445550715618</v>
      </c>
    </row>
    <row r="572" spans="1:10" ht="24">
      <c r="A572" s="57" t="s">
        <v>553</v>
      </c>
      <c r="B572" s="53" t="s">
        <v>418</v>
      </c>
      <c r="C572" s="53" t="s">
        <v>1291</v>
      </c>
      <c r="D572" s="53" t="s">
        <v>601</v>
      </c>
      <c r="E572" s="53" t="s">
        <v>554</v>
      </c>
      <c r="F572" s="60">
        <f>1704</f>
        <v>1704</v>
      </c>
      <c r="G572" s="60">
        <f>1704-97</f>
        <v>1607</v>
      </c>
      <c r="H572" s="60">
        <v>1448.3</v>
      </c>
      <c r="I572" s="370">
        <f t="shared" si="71"/>
        <v>84.99413145539906</v>
      </c>
      <c r="J572" s="370">
        <f t="shared" si="73"/>
        <v>90.12445550715618</v>
      </c>
    </row>
    <row r="573" spans="1:10" ht="24">
      <c r="A573" s="57" t="s">
        <v>602</v>
      </c>
      <c r="B573" s="53" t="s">
        <v>418</v>
      </c>
      <c r="C573" s="53" t="s">
        <v>1291</v>
      </c>
      <c r="D573" s="53" t="s">
        <v>603</v>
      </c>
      <c r="E573" s="53" t="s">
        <v>920</v>
      </c>
      <c r="F573" s="153">
        <f aca="true" t="shared" si="75" ref="F573:H574">F574</f>
        <v>3000</v>
      </c>
      <c r="G573" s="153">
        <f t="shared" si="75"/>
        <v>3847</v>
      </c>
      <c r="H573" s="153">
        <f t="shared" si="75"/>
        <v>2681.6</v>
      </c>
      <c r="I573" s="370">
        <f t="shared" si="71"/>
        <v>89.38666666666666</v>
      </c>
      <c r="J573" s="370">
        <f t="shared" si="73"/>
        <v>69.7062646217832</v>
      </c>
    </row>
    <row r="574" spans="1:10" ht="24">
      <c r="A574" s="206" t="s">
        <v>68</v>
      </c>
      <c r="B574" s="53" t="s">
        <v>418</v>
      </c>
      <c r="C574" s="53" t="s">
        <v>1291</v>
      </c>
      <c r="D574" s="53" t="s">
        <v>603</v>
      </c>
      <c r="E574" s="53" t="s">
        <v>528</v>
      </c>
      <c r="F574" s="153">
        <f t="shared" si="75"/>
        <v>3000</v>
      </c>
      <c r="G574" s="153">
        <f t="shared" si="75"/>
        <v>3847</v>
      </c>
      <c r="H574" s="153">
        <f t="shared" si="75"/>
        <v>2681.6</v>
      </c>
      <c r="I574" s="370">
        <f t="shared" si="71"/>
        <v>89.38666666666666</v>
      </c>
      <c r="J574" s="370">
        <f t="shared" si="73"/>
        <v>69.7062646217832</v>
      </c>
    </row>
    <row r="575" spans="1:10" ht="24">
      <c r="A575" s="57" t="s">
        <v>535</v>
      </c>
      <c r="B575" s="53" t="s">
        <v>418</v>
      </c>
      <c r="C575" s="53" t="s">
        <v>1291</v>
      </c>
      <c r="D575" s="53" t="s">
        <v>603</v>
      </c>
      <c r="E575" s="53" t="s">
        <v>1486</v>
      </c>
      <c r="F575" s="60">
        <f>3000</f>
        <v>3000</v>
      </c>
      <c r="G575" s="60">
        <f>3000+757+90</f>
        <v>3847</v>
      </c>
      <c r="H575" s="60">
        <v>2681.6</v>
      </c>
      <c r="I575" s="370">
        <f t="shared" si="71"/>
        <v>89.38666666666666</v>
      </c>
      <c r="J575" s="370">
        <f t="shared" si="73"/>
        <v>69.7062646217832</v>
      </c>
    </row>
    <row r="576" spans="1:10" ht="36">
      <c r="A576" s="62" t="s">
        <v>139</v>
      </c>
      <c r="B576" s="53" t="s">
        <v>418</v>
      </c>
      <c r="C576" s="53" t="s">
        <v>1291</v>
      </c>
      <c r="D576" s="53" t="s">
        <v>604</v>
      </c>
      <c r="E576" s="53" t="s">
        <v>1454</v>
      </c>
      <c r="F576" s="153">
        <f>F577</f>
        <v>64903</v>
      </c>
      <c r="G576" s="153">
        <f>G577</f>
        <v>67413.7</v>
      </c>
      <c r="H576" s="153">
        <f>H577</f>
        <v>67211.5</v>
      </c>
      <c r="I576" s="370">
        <f t="shared" si="71"/>
        <v>103.55684637073787</v>
      </c>
      <c r="J576" s="370">
        <f t="shared" si="73"/>
        <v>99.70006096683612</v>
      </c>
    </row>
    <row r="577" spans="1:10" ht="24">
      <c r="A577" s="57" t="s">
        <v>141</v>
      </c>
      <c r="B577" s="53" t="s">
        <v>418</v>
      </c>
      <c r="C577" s="53" t="s">
        <v>1291</v>
      </c>
      <c r="D577" s="53" t="s">
        <v>604</v>
      </c>
      <c r="E577" s="53" t="s">
        <v>554</v>
      </c>
      <c r="F577" s="60">
        <f>64903</f>
        <v>64903</v>
      </c>
      <c r="G577" s="60">
        <f>64903+400+610.8-0.1+1500</f>
        <v>67413.7</v>
      </c>
      <c r="H577" s="60">
        <f>62601.1+H578+H579</f>
        <v>67211.5</v>
      </c>
      <c r="I577" s="370">
        <f t="shared" si="71"/>
        <v>103.55684637073787</v>
      </c>
      <c r="J577" s="370">
        <f t="shared" si="73"/>
        <v>99.70006096683612</v>
      </c>
    </row>
    <row r="578" spans="1:10" ht="24">
      <c r="A578" s="57" t="s">
        <v>605</v>
      </c>
      <c r="B578" s="53" t="s">
        <v>418</v>
      </c>
      <c r="C578" s="53" t="s">
        <v>1291</v>
      </c>
      <c r="D578" s="53" t="s">
        <v>604</v>
      </c>
      <c r="E578" s="53" t="s">
        <v>554</v>
      </c>
      <c r="F578" s="60">
        <f>4302</f>
        <v>4302</v>
      </c>
      <c r="G578" s="60">
        <f>4302+80</f>
        <v>4382</v>
      </c>
      <c r="H578" s="60">
        <f>4302+80</f>
        <v>4382</v>
      </c>
      <c r="I578" s="370">
        <f t="shared" si="71"/>
        <v>101.85960018596</v>
      </c>
      <c r="J578" s="370">
        <f t="shared" si="73"/>
        <v>100</v>
      </c>
    </row>
    <row r="579" spans="1:10" ht="24">
      <c r="A579" s="57" t="s">
        <v>606</v>
      </c>
      <c r="B579" s="53" t="s">
        <v>418</v>
      </c>
      <c r="C579" s="53" t="s">
        <v>1291</v>
      </c>
      <c r="D579" s="53" t="s">
        <v>604</v>
      </c>
      <c r="E579" s="53" t="s">
        <v>554</v>
      </c>
      <c r="F579" s="60">
        <v>0</v>
      </c>
      <c r="G579" s="60">
        <v>233</v>
      </c>
      <c r="H579" s="60">
        <v>228.4</v>
      </c>
      <c r="I579" s="370"/>
      <c r="J579" s="370">
        <f t="shared" si="73"/>
        <v>98.02575107296137</v>
      </c>
    </row>
    <row r="580" spans="1:10" ht="15.75">
      <c r="A580" s="124" t="s">
        <v>607</v>
      </c>
      <c r="B580" s="53" t="s">
        <v>419</v>
      </c>
      <c r="C580" s="53" t="s">
        <v>791</v>
      </c>
      <c r="D580" s="53"/>
      <c r="E580" s="53"/>
      <c r="F580" s="154">
        <f>F581+F628</f>
        <v>376620</v>
      </c>
      <c r="G580" s="154">
        <f>G581+G628</f>
        <v>384828.8</v>
      </c>
      <c r="H580" s="154">
        <f>H581+H628</f>
        <v>382785.6</v>
      </c>
      <c r="I580" s="370">
        <f t="shared" si="71"/>
        <v>101.637087780787</v>
      </c>
      <c r="J580" s="370">
        <f t="shared" si="73"/>
        <v>99.46906260654089</v>
      </c>
    </row>
    <row r="581" spans="1:10" ht="15.75">
      <c r="A581" s="61" t="s">
        <v>1133</v>
      </c>
      <c r="B581" s="55" t="s">
        <v>419</v>
      </c>
      <c r="C581" s="55" t="s">
        <v>1105</v>
      </c>
      <c r="D581" s="55"/>
      <c r="E581" s="55"/>
      <c r="F581" s="153">
        <f>F582+F625</f>
        <v>242823</v>
      </c>
      <c r="G581" s="153">
        <f>G582+G625</f>
        <v>277361.8</v>
      </c>
      <c r="H581" s="153">
        <f>H582+H625</f>
        <v>276229.2</v>
      </c>
      <c r="I581" s="370">
        <f t="shared" si="71"/>
        <v>113.75742825020694</v>
      </c>
      <c r="J581" s="370">
        <f t="shared" si="73"/>
        <v>99.59165249143899</v>
      </c>
    </row>
    <row r="582" spans="1:10" ht="24">
      <c r="A582" s="382" t="s">
        <v>608</v>
      </c>
      <c r="B582" s="55" t="s">
        <v>419</v>
      </c>
      <c r="C582" s="55" t="s">
        <v>1105</v>
      </c>
      <c r="D582" s="55" t="s">
        <v>1251</v>
      </c>
      <c r="E582" s="55"/>
      <c r="F582" s="153">
        <f>F583+F587+F603+F610</f>
        <v>242823</v>
      </c>
      <c r="G582" s="153">
        <f>G583+G587+G603+G610</f>
        <v>275961.8</v>
      </c>
      <c r="H582" s="153">
        <f>H583+H587+H603+H610</f>
        <v>274831.5</v>
      </c>
      <c r="I582" s="370">
        <f t="shared" si="71"/>
        <v>113.18182379758095</v>
      </c>
      <c r="J582" s="370">
        <f t="shared" si="73"/>
        <v>99.590414325461</v>
      </c>
    </row>
    <row r="583" spans="1:10" ht="72">
      <c r="A583" s="394" t="s">
        <v>609</v>
      </c>
      <c r="B583" s="55" t="s">
        <v>419</v>
      </c>
      <c r="C583" s="55" t="s">
        <v>1105</v>
      </c>
      <c r="D583" s="55" t="s">
        <v>610</v>
      </c>
      <c r="E583" s="55"/>
      <c r="F583" s="153">
        <f>F584</f>
        <v>0</v>
      </c>
      <c r="G583" s="153">
        <f>G584</f>
        <v>6260</v>
      </c>
      <c r="H583" s="153">
        <f>H584</f>
        <v>6260</v>
      </c>
      <c r="I583" s="370"/>
      <c r="J583" s="370">
        <f t="shared" si="73"/>
        <v>100</v>
      </c>
    </row>
    <row r="584" spans="1:10" ht="36">
      <c r="A584" s="62" t="s">
        <v>139</v>
      </c>
      <c r="B584" s="55" t="s">
        <v>419</v>
      </c>
      <c r="C584" s="55" t="s">
        <v>1105</v>
      </c>
      <c r="D584" s="55" t="s">
        <v>610</v>
      </c>
      <c r="E584" s="55" t="s">
        <v>1454</v>
      </c>
      <c r="F584" s="153">
        <f>F585+F586</f>
        <v>0</v>
      </c>
      <c r="G584" s="153">
        <f>G585+G586</f>
        <v>6260</v>
      </c>
      <c r="H584" s="153">
        <f>H585+H586</f>
        <v>6260</v>
      </c>
      <c r="I584" s="370"/>
      <c r="J584" s="370">
        <f t="shared" si="73"/>
        <v>100</v>
      </c>
    </row>
    <row r="585" spans="1:10" ht="24">
      <c r="A585" s="57" t="s">
        <v>553</v>
      </c>
      <c r="B585" s="55" t="s">
        <v>419</v>
      </c>
      <c r="C585" s="55" t="s">
        <v>1105</v>
      </c>
      <c r="D585" s="55" t="s">
        <v>610</v>
      </c>
      <c r="E585" s="55" t="s">
        <v>554</v>
      </c>
      <c r="F585" s="60">
        <v>0</v>
      </c>
      <c r="G585" s="60">
        <v>5740</v>
      </c>
      <c r="H585" s="60">
        <v>5740</v>
      </c>
      <c r="I585" s="370"/>
      <c r="J585" s="370">
        <f t="shared" si="73"/>
        <v>100</v>
      </c>
    </row>
    <row r="586" spans="1:10" ht="24">
      <c r="A586" s="57" t="s">
        <v>445</v>
      </c>
      <c r="B586" s="55" t="s">
        <v>419</v>
      </c>
      <c r="C586" s="55" t="s">
        <v>1105</v>
      </c>
      <c r="D586" s="55" t="s">
        <v>610</v>
      </c>
      <c r="E586" s="55" t="s">
        <v>446</v>
      </c>
      <c r="F586" s="60">
        <v>0</v>
      </c>
      <c r="G586" s="60">
        <v>520</v>
      </c>
      <c r="H586" s="60">
        <v>520</v>
      </c>
      <c r="I586" s="370"/>
      <c r="J586" s="370">
        <f t="shared" si="73"/>
        <v>100</v>
      </c>
    </row>
    <row r="587" spans="1:10" ht="36">
      <c r="A587" s="62" t="s">
        <v>139</v>
      </c>
      <c r="B587" s="55" t="s">
        <v>419</v>
      </c>
      <c r="C587" s="55" t="s">
        <v>1105</v>
      </c>
      <c r="D587" s="55" t="s">
        <v>611</v>
      </c>
      <c r="E587" s="55" t="s">
        <v>1454</v>
      </c>
      <c r="F587" s="153">
        <f>F588+F589+F590+F598</f>
        <v>201376</v>
      </c>
      <c r="G587" s="153">
        <f>G588+G589+G590+G598</f>
        <v>222721.99999999997</v>
      </c>
      <c r="H587" s="153">
        <f>H588+H589+H590+H598</f>
        <v>221633.9</v>
      </c>
      <c r="I587" s="370">
        <f t="shared" si="71"/>
        <v>110.05973899570951</v>
      </c>
      <c r="J587" s="370">
        <f t="shared" si="73"/>
        <v>99.51145374053753</v>
      </c>
    </row>
    <row r="588" spans="1:10" ht="24">
      <c r="A588" s="57" t="s">
        <v>141</v>
      </c>
      <c r="B588" s="55" t="s">
        <v>419</v>
      </c>
      <c r="C588" s="55" t="s">
        <v>1105</v>
      </c>
      <c r="D588" s="55" t="s">
        <v>612</v>
      </c>
      <c r="E588" s="55" t="s">
        <v>554</v>
      </c>
      <c r="F588" s="60">
        <v>172892</v>
      </c>
      <c r="G588" s="60">
        <f>169248+5485+209.1+156.3+195.8+160.4+399.9+955+0.1-2076.6+10-170+90+1300</f>
        <v>175962.99999999997</v>
      </c>
      <c r="H588" s="60">
        <f>169248+5485+209.1+156.3+195.8+160.4+399.9+955+0.1-2076.6+10-170+90+1300</f>
        <v>175962.99999999997</v>
      </c>
      <c r="I588" s="370">
        <f t="shared" si="71"/>
        <v>101.77625338361518</v>
      </c>
      <c r="J588" s="370">
        <f t="shared" si="73"/>
        <v>100</v>
      </c>
    </row>
    <row r="589" spans="1:10" ht="24">
      <c r="A589" s="57" t="s">
        <v>553</v>
      </c>
      <c r="B589" s="55" t="s">
        <v>419</v>
      </c>
      <c r="C589" s="55" t="s">
        <v>1105</v>
      </c>
      <c r="D589" s="55" t="s">
        <v>614</v>
      </c>
      <c r="E589" s="55" t="s">
        <v>554</v>
      </c>
      <c r="F589" s="60">
        <v>0</v>
      </c>
      <c r="G589" s="60">
        <f>3644+140-70</f>
        <v>3714</v>
      </c>
      <c r="H589" s="60">
        <v>3704.1</v>
      </c>
      <c r="I589" s="370"/>
      <c r="J589" s="370">
        <f t="shared" si="73"/>
        <v>99.73344103392569</v>
      </c>
    </row>
    <row r="590" spans="1:10" ht="24">
      <c r="A590" s="57" t="s">
        <v>1237</v>
      </c>
      <c r="B590" s="55" t="s">
        <v>419</v>
      </c>
      <c r="C590" s="55" t="s">
        <v>1105</v>
      </c>
      <c r="D590" s="55" t="s">
        <v>612</v>
      </c>
      <c r="E590" s="55" t="s">
        <v>446</v>
      </c>
      <c r="F590" s="60">
        <v>23484</v>
      </c>
      <c r="G590" s="60">
        <f>23484.1+152.3+65.3+380+1450+816.7+1437+1000+162+1800+48+572.8+1452.3</f>
        <v>32820.5</v>
      </c>
      <c r="H590" s="60">
        <f>25159.5+H591+H592+H593+H594+H595+H596+H597</f>
        <v>31746.600000000002</v>
      </c>
      <c r="I590" s="370">
        <f t="shared" si="71"/>
        <v>135.18395503321412</v>
      </c>
      <c r="J590" s="370">
        <f t="shared" si="73"/>
        <v>96.72795965935926</v>
      </c>
    </row>
    <row r="591" spans="1:10" ht="36">
      <c r="A591" s="57" t="s">
        <v>615</v>
      </c>
      <c r="B591" s="55" t="s">
        <v>419</v>
      </c>
      <c r="C591" s="55" t="s">
        <v>1105</v>
      </c>
      <c r="D591" s="55" t="s">
        <v>612</v>
      </c>
      <c r="E591" s="55" t="s">
        <v>446</v>
      </c>
      <c r="F591" s="60">
        <v>0</v>
      </c>
      <c r="G591" s="60">
        <v>152.3</v>
      </c>
      <c r="H591" s="60">
        <v>152.3</v>
      </c>
      <c r="I591" s="370"/>
      <c r="J591" s="370">
        <f t="shared" si="73"/>
        <v>100</v>
      </c>
    </row>
    <row r="592" spans="1:10" ht="36">
      <c r="A592" s="57" t="s">
        <v>616</v>
      </c>
      <c r="B592" s="55" t="s">
        <v>419</v>
      </c>
      <c r="C592" s="55" t="s">
        <v>1105</v>
      </c>
      <c r="D592" s="55" t="s">
        <v>612</v>
      </c>
      <c r="E592" s="55" t="s">
        <v>446</v>
      </c>
      <c r="F592" s="60">
        <v>0</v>
      </c>
      <c r="G592" s="60">
        <v>1450</v>
      </c>
      <c r="H592" s="60">
        <v>1450</v>
      </c>
      <c r="I592" s="370"/>
      <c r="J592" s="370">
        <f t="shared" si="73"/>
        <v>100</v>
      </c>
    </row>
    <row r="593" spans="1:10" ht="24">
      <c r="A593" s="57" t="s">
        <v>617</v>
      </c>
      <c r="B593" s="55" t="s">
        <v>419</v>
      </c>
      <c r="C593" s="55" t="s">
        <v>1105</v>
      </c>
      <c r="D593" s="55" t="s">
        <v>612</v>
      </c>
      <c r="E593" s="55" t="s">
        <v>446</v>
      </c>
      <c r="F593" s="60">
        <v>0</v>
      </c>
      <c r="G593" s="60">
        <v>1437</v>
      </c>
      <c r="H593" s="60">
        <v>1427.4</v>
      </c>
      <c r="I593" s="370"/>
      <c r="J593" s="370">
        <f t="shared" si="73"/>
        <v>99.33194154488518</v>
      </c>
    </row>
    <row r="594" spans="1:10" ht="24">
      <c r="A594" s="57" t="s">
        <v>1373</v>
      </c>
      <c r="B594" s="55" t="s">
        <v>419</v>
      </c>
      <c r="C594" s="55" t="s">
        <v>1105</v>
      </c>
      <c r="D594" s="55" t="s">
        <v>612</v>
      </c>
      <c r="E594" s="55" t="s">
        <v>446</v>
      </c>
      <c r="F594" s="60">
        <v>0</v>
      </c>
      <c r="G594" s="60">
        <f>1000+1800</f>
        <v>2800</v>
      </c>
      <c r="H594" s="60">
        <f>1000+1800</f>
        <v>2800</v>
      </c>
      <c r="I594" s="370"/>
      <c r="J594" s="370">
        <f t="shared" si="73"/>
        <v>100</v>
      </c>
    </row>
    <row r="595" spans="1:10" ht="24">
      <c r="A595" s="57" t="s">
        <v>1374</v>
      </c>
      <c r="B595" s="55" t="s">
        <v>419</v>
      </c>
      <c r="C595" s="55" t="s">
        <v>1105</v>
      </c>
      <c r="D595" s="55" t="s">
        <v>612</v>
      </c>
      <c r="E595" s="55" t="s">
        <v>446</v>
      </c>
      <c r="F595" s="60">
        <v>0</v>
      </c>
      <c r="G595" s="60">
        <v>162</v>
      </c>
      <c r="H595" s="60">
        <v>162</v>
      </c>
      <c r="I595" s="370"/>
      <c r="J595" s="370">
        <f t="shared" si="73"/>
        <v>100</v>
      </c>
    </row>
    <row r="596" spans="1:10" ht="24">
      <c r="A596" s="57" t="s">
        <v>1375</v>
      </c>
      <c r="B596" s="55" t="s">
        <v>419</v>
      </c>
      <c r="C596" s="55" t="s">
        <v>1105</v>
      </c>
      <c r="D596" s="55" t="s">
        <v>612</v>
      </c>
      <c r="E596" s="55" t="s">
        <v>446</v>
      </c>
      <c r="F596" s="60">
        <v>0</v>
      </c>
      <c r="G596" s="60">
        <f>48+98.4</f>
        <v>146.4</v>
      </c>
      <c r="H596" s="60">
        <f>48+98.4</f>
        <v>146.4</v>
      </c>
      <c r="I596" s="370"/>
      <c r="J596" s="370">
        <f t="shared" si="73"/>
        <v>100</v>
      </c>
    </row>
    <row r="597" spans="1:10" ht="24">
      <c r="A597" s="57" t="s">
        <v>1376</v>
      </c>
      <c r="B597" s="55" t="s">
        <v>419</v>
      </c>
      <c r="C597" s="55" t="s">
        <v>1105</v>
      </c>
      <c r="D597" s="55" t="s">
        <v>612</v>
      </c>
      <c r="E597" s="55" t="s">
        <v>446</v>
      </c>
      <c r="F597" s="60">
        <v>0</v>
      </c>
      <c r="G597" s="60">
        <f>572.8-98.4</f>
        <v>474.4</v>
      </c>
      <c r="H597" s="60">
        <v>449</v>
      </c>
      <c r="I597" s="370"/>
      <c r="J597" s="370">
        <f t="shared" si="73"/>
        <v>94.64586846543001</v>
      </c>
    </row>
    <row r="598" spans="1:10" ht="36">
      <c r="A598" s="62" t="s">
        <v>139</v>
      </c>
      <c r="B598" s="55" t="s">
        <v>419</v>
      </c>
      <c r="C598" s="55" t="s">
        <v>1105</v>
      </c>
      <c r="D598" s="55" t="s">
        <v>1404</v>
      </c>
      <c r="E598" s="55" t="s">
        <v>1454</v>
      </c>
      <c r="F598" s="153">
        <f>F599+F601</f>
        <v>5000</v>
      </c>
      <c r="G598" s="153">
        <f>G599+G601</f>
        <v>10224.5</v>
      </c>
      <c r="H598" s="153">
        <f>H599+H601</f>
        <v>10220.199999999999</v>
      </c>
      <c r="I598" s="370">
        <f t="shared" si="71"/>
        <v>204.404</v>
      </c>
      <c r="J598" s="370">
        <f t="shared" si="73"/>
        <v>99.95794415374833</v>
      </c>
    </row>
    <row r="599" spans="1:10" ht="24">
      <c r="A599" s="57" t="s">
        <v>1405</v>
      </c>
      <c r="B599" s="55" t="s">
        <v>419</v>
      </c>
      <c r="C599" s="55" t="s">
        <v>1105</v>
      </c>
      <c r="D599" s="55" t="s">
        <v>1404</v>
      </c>
      <c r="E599" s="55" t="s">
        <v>554</v>
      </c>
      <c r="F599" s="153">
        <f>F600</f>
        <v>5000</v>
      </c>
      <c r="G599" s="153">
        <f>G600</f>
        <v>8478</v>
      </c>
      <c r="H599" s="153">
        <f>H600</f>
        <v>8473.8</v>
      </c>
      <c r="I599" s="370">
        <f t="shared" si="71"/>
        <v>169.47599999999997</v>
      </c>
      <c r="J599" s="370">
        <f t="shared" si="73"/>
        <v>99.95046001415427</v>
      </c>
    </row>
    <row r="600" spans="1:10" ht="24">
      <c r="A600" s="57" t="s">
        <v>1075</v>
      </c>
      <c r="B600" s="55" t="s">
        <v>419</v>
      </c>
      <c r="C600" s="55" t="s">
        <v>1105</v>
      </c>
      <c r="D600" s="55" t="s">
        <v>1404</v>
      </c>
      <c r="E600" s="55" t="s">
        <v>554</v>
      </c>
      <c r="F600" s="60">
        <f>5000</f>
        <v>5000</v>
      </c>
      <c r="G600" s="60">
        <f>5000-580+800+1338+350+1450+120</f>
        <v>8478</v>
      </c>
      <c r="H600" s="60">
        <v>8473.8</v>
      </c>
      <c r="I600" s="370">
        <f t="shared" si="71"/>
        <v>169.47599999999997</v>
      </c>
      <c r="J600" s="370">
        <f t="shared" si="73"/>
        <v>99.95046001415427</v>
      </c>
    </row>
    <row r="601" spans="1:10" ht="24">
      <c r="A601" s="57" t="s">
        <v>1237</v>
      </c>
      <c r="B601" s="55" t="s">
        <v>419</v>
      </c>
      <c r="C601" s="55" t="s">
        <v>1105</v>
      </c>
      <c r="D601" s="55" t="s">
        <v>1404</v>
      </c>
      <c r="E601" s="55" t="s">
        <v>446</v>
      </c>
      <c r="F601" s="153">
        <f>F602</f>
        <v>0</v>
      </c>
      <c r="G601" s="153">
        <f>G602</f>
        <v>1746.5</v>
      </c>
      <c r="H601" s="153">
        <f>H602</f>
        <v>1746.4</v>
      </c>
      <c r="I601" s="370"/>
      <c r="J601" s="370">
        <f t="shared" si="73"/>
        <v>99.99427426281135</v>
      </c>
    </row>
    <row r="602" spans="1:10" ht="24">
      <c r="A602" s="57" t="s">
        <v>1075</v>
      </c>
      <c r="B602" s="55" t="s">
        <v>419</v>
      </c>
      <c r="C602" s="55" t="s">
        <v>1105</v>
      </c>
      <c r="D602" s="55" t="s">
        <v>1404</v>
      </c>
      <c r="E602" s="55" t="s">
        <v>446</v>
      </c>
      <c r="F602" s="60">
        <v>0</v>
      </c>
      <c r="G602" s="60">
        <f>580+451+162-162+715.5</f>
        <v>1746.5</v>
      </c>
      <c r="H602" s="60">
        <f>580+451+162-162+715.4</f>
        <v>1746.4</v>
      </c>
      <c r="I602" s="370"/>
      <c r="J602" s="370">
        <f t="shared" si="73"/>
        <v>99.99427426281135</v>
      </c>
    </row>
    <row r="603" spans="1:10" ht="36">
      <c r="A603" s="62" t="s">
        <v>1406</v>
      </c>
      <c r="B603" s="55" t="s">
        <v>419</v>
      </c>
      <c r="C603" s="55" t="s">
        <v>1105</v>
      </c>
      <c r="D603" s="55" t="s">
        <v>1407</v>
      </c>
      <c r="E603" s="55"/>
      <c r="F603" s="153">
        <f>F604+F607</f>
        <v>41447</v>
      </c>
      <c r="G603" s="153">
        <f>G604+G607</f>
        <v>43227</v>
      </c>
      <c r="H603" s="153">
        <f>H604+H607</f>
        <v>43194.7</v>
      </c>
      <c r="I603" s="370">
        <f t="shared" si="71"/>
        <v>104.2167104977441</v>
      </c>
      <c r="J603" s="370">
        <f t="shared" si="73"/>
        <v>99.92527818261733</v>
      </c>
    </row>
    <row r="604" spans="1:10" ht="88.5" customHeight="1">
      <c r="A604" s="62" t="s">
        <v>1408</v>
      </c>
      <c r="B604" s="55" t="s">
        <v>419</v>
      </c>
      <c r="C604" s="55" t="s">
        <v>1105</v>
      </c>
      <c r="D604" s="55" t="s">
        <v>1409</v>
      </c>
      <c r="E604" s="55"/>
      <c r="F604" s="153">
        <f aca="true" t="shared" si="76" ref="F604:H605">F605</f>
        <v>0</v>
      </c>
      <c r="G604" s="153">
        <f t="shared" si="76"/>
        <v>1820</v>
      </c>
      <c r="H604" s="153">
        <f t="shared" si="76"/>
        <v>1820</v>
      </c>
      <c r="I604" s="370"/>
      <c r="J604" s="370">
        <f t="shared" si="73"/>
        <v>100</v>
      </c>
    </row>
    <row r="605" spans="1:10" ht="36">
      <c r="A605" s="62" t="s">
        <v>139</v>
      </c>
      <c r="B605" s="55" t="s">
        <v>419</v>
      </c>
      <c r="C605" s="55" t="s">
        <v>1105</v>
      </c>
      <c r="D605" s="55" t="s">
        <v>1409</v>
      </c>
      <c r="E605" s="55" t="s">
        <v>1454</v>
      </c>
      <c r="F605" s="153">
        <f t="shared" si="76"/>
        <v>0</v>
      </c>
      <c r="G605" s="153">
        <f t="shared" si="76"/>
        <v>1820</v>
      </c>
      <c r="H605" s="153">
        <f t="shared" si="76"/>
        <v>1820</v>
      </c>
      <c r="I605" s="370"/>
      <c r="J605" s="370">
        <f t="shared" si="73"/>
        <v>100</v>
      </c>
    </row>
    <row r="606" spans="1:10" ht="24">
      <c r="A606" s="57" t="s">
        <v>553</v>
      </c>
      <c r="B606" s="55" t="s">
        <v>419</v>
      </c>
      <c r="C606" s="55" t="s">
        <v>1105</v>
      </c>
      <c r="D606" s="55" t="s">
        <v>1409</v>
      </c>
      <c r="E606" s="55" t="s">
        <v>554</v>
      </c>
      <c r="F606" s="60">
        <v>0</v>
      </c>
      <c r="G606" s="60">
        <v>1820</v>
      </c>
      <c r="H606" s="60">
        <v>1820</v>
      </c>
      <c r="I606" s="370"/>
      <c r="J606" s="370">
        <f t="shared" si="73"/>
        <v>100</v>
      </c>
    </row>
    <row r="607" spans="1:10" ht="36">
      <c r="A607" s="62" t="s">
        <v>139</v>
      </c>
      <c r="B607" s="55" t="s">
        <v>419</v>
      </c>
      <c r="C607" s="55" t="s">
        <v>1105</v>
      </c>
      <c r="D607" s="55" t="s">
        <v>1410</v>
      </c>
      <c r="E607" s="55" t="s">
        <v>1454</v>
      </c>
      <c r="F607" s="153">
        <f>F608</f>
        <v>41447</v>
      </c>
      <c r="G607" s="153">
        <f>G608</f>
        <v>41407</v>
      </c>
      <c r="H607" s="153">
        <f>H608</f>
        <v>41374.7</v>
      </c>
      <c r="I607" s="370">
        <f t="shared" si="71"/>
        <v>99.82556035418727</v>
      </c>
      <c r="J607" s="370">
        <f t="shared" si="73"/>
        <v>99.92199386577148</v>
      </c>
    </row>
    <row r="608" spans="1:10" ht="24">
      <c r="A608" s="57" t="s">
        <v>512</v>
      </c>
      <c r="B608" s="55" t="s">
        <v>419</v>
      </c>
      <c r="C608" s="55" t="s">
        <v>1105</v>
      </c>
      <c r="D608" s="55" t="s">
        <v>1410</v>
      </c>
      <c r="E608" s="55" t="s">
        <v>554</v>
      </c>
      <c r="F608" s="60">
        <f>41447</f>
        <v>41447</v>
      </c>
      <c r="G608" s="60">
        <f>41447+1660-1700</f>
        <v>41407</v>
      </c>
      <c r="H608" s="60">
        <f>41235.6+H609</f>
        <v>41374.7</v>
      </c>
      <c r="I608" s="370">
        <f aca="true" t="shared" si="77" ref="I608:I660">H608/F608*100</f>
        <v>99.82556035418727</v>
      </c>
      <c r="J608" s="370">
        <f aca="true" t="shared" si="78" ref="J608:J660">H608/G608*100</f>
        <v>99.92199386577148</v>
      </c>
    </row>
    <row r="609" spans="1:10" ht="24">
      <c r="A609" s="57" t="s">
        <v>1411</v>
      </c>
      <c r="B609" s="55" t="s">
        <v>419</v>
      </c>
      <c r="C609" s="55" t="s">
        <v>1105</v>
      </c>
      <c r="D609" s="55" t="s">
        <v>1410</v>
      </c>
      <c r="E609" s="55" t="s">
        <v>554</v>
      </c>
      <c r="F609" s="60">
        <v>0</v>
      </c>
      <c r="G609" s="60">
        <v>140</v>
      </c>
      <c r="H609" s="60">
        <v>139.1</v>
      </c>
      <c r="I609" s="370"/>
      <c r="J609" s="370">
        <f t="shared" si="78"/>
        <v>99.35714285714286</v>
      </c>
    </row>
    <row r="610" spans="1:10" ht="48">
      <c r="A610" s="57" t="s">
        <v>1257</v>
      </c>
      <c r="B610" s="55" t="s">
        <v>419</v>
      </c>
      <c r="C610" s="55" t="s">
        <v>1105</v>
      </c>
      <c r="D610" s="55" t="s">
        <v>1258</v>
      </c>
      <c r="E610" s="55" t="s">
        <v>920</v>
      </c>
      <c r="F610" s="153">
        <f>F614+F611+F619+F622</f>
        <v>0</v>
      </c>
      <c r="G610" s="153">
        <f>G614+G611+G619+G622</f>
        <v>3752.8</v>
      </c>
      <c r="H610" s="153">
        <f>H614+H611+H619+H622</f>
        <v>3742.9</v>
      </c>
      <c r="I610" s="370"/>
      <c r="J610" s="370">
        <f t="shared" si="78"/>
        <v>99.73619697292688</v>
      </c>
    </row>
    <row r="611" spans="1:10" ht="36">
      <c r="A611" s="62" t="s">
        <v>154</v>
      </c>
      <c r="B611" s="55" t="s">
        <v>419</v>
      </c>
      <c r="C611" s="55" t="s">
        <v>1105</v>
      </c>
      <c r="D611" s="55" t="s">
        <v>1412</v>
      </c>
      <c r="E611" s="55" t="s">
        <v>552</v>
      </c>
      <c r="F611" s="153">
        <f aca="true" t="shared" si="79" ref="F611:H612">F612</f>
        <v>0</v>
      </c>
      <c r="G611" s="153">
        <f t="shared" si="79"/>
        <v>939.2</v>
      </c>
      <c r="H611" s="153">
        <f t="shared" si="79"/>
        <v>931.5</v>
      </c>
      <c r="I611" s="370"/>
      <c r="J611" s="370">
        <f t="shared" si="78"/>
        <v>99.18015332197615</v>
      </c>
    </row>
    <row r="612" spans="1:10" ht="48">
      <c r="A612" s="62" t="s">
        <v>278</v>
      </c>
      <c r="B612" s="55" t="s">
        <v>419</v>
      </c>
      <c r="C612" s="55" t="s">
        <v>1105</v>
      </c>
      <c r="D612" s="55" t="s">
        <v>1412</v>
      </c>
      <c r="E612" s="55" t="s">
        <v>155</v>
      </c>
      <c r="F612" s="153">
        <f t="shared" si="79"/>
        <v>0</v>
      </c>
      <c r="G612" s="153">
        <f t="shared" si="79"/>
        <v>939.2</v>
      </c>
      <c r="H612" s="153">
        <f t="shared" si="79"/>
        <v>931.5</v>
      </c>
      <c r="I612" s="370"/>
      <c r="J612" s="370">
        <f t="shared" si="78"/>
        <v>99.18015332197615</v>
      </c>
    </row>
    <row r="613" spans="1:10" ht="48">
      <c r="A613" s="57" t="s">
        <v>1413</v>
      </c>
      <c r="B613" s="55" t="s">
        <v>419</v>
      </c>
      <c r="C613" s="55" t="s">
        <v>1105</v>
      </c>
      <c r="D613" s="55" t="s">
        <v>1412</v>
      </c>
      <c r="E613" s="55" t="s">
        <v>155</v>
      </c>
      <c r="F613" s="60">
        <v>0</v>
      </c>
      <c r="G613" s="60">
        <f>1470-620.8+90</f>
        <v>939.2</v>
      </c>
      <c r="H613" s="60">
        <v>931.5</v>
      </c>
      <c r="I613" s="370"/>
      <c r="J613" s="370">
        <f t="shared" si="78"/>
        <v>99.18015332197615</v>
      </c>
    </row>
    <row r="614" spans="1:10" ht="36">
      <c r="A614" s="62" t="s">
        <v>139</v>
      </c>
      <c r="B614" s="55" t="s">
        <v>419</v>
      </c>
      <c r="C614" s="55" t="s">
        <v>1105</v>
      </c>
      <c r="D614" s="55" t="s">
        <v>1412</v>
      </c>
      <c r="E614" s="55" t="s">
        <v>1454</v>
      </c>
      <c r="F614" s="153">
        <f>F615</f>
        <v>0</v>
      </c>
      <c r="G614" s="153">
        <f>G615</f>
        <v>2685.6</v>
      </c>
      <c r="H614" s="153">
        <f>H615</f>
        <v>2683.4</v>
      </c>
      <c r="I614" s="370"/>
      <c r="J614" s="370">
        <f t="shared" si="78"/>
        <v>99.91808162049449</v>
      </c>
    </row>
    <row r="615" spans="1:10" ht="24">
      <c r="A615" s="57" t="s">
        <v>141</v>
      </c>
      <c r="B615" s="55" t="s">
        <v>419</v>
      </c>
      <c r="C615" s="55" t="s">
        <v>1105</v>
      </c>
      <c r="D615" s="55" t="s">
        <v>1412</v>
      </c>
      <c r="E615" s="55" t="s">
        <v>554</v>
      </c>
      <c r="F615" s="153">
        <f>F616+F617+F618</f>
        <v>0</v>
      </c>
      <c r="G615" s="153">
        <f>G616+G617+G618</f>
        <v>2685.6</v>
      </c>
      <c r="H615" s="153">
        <f>H616+H617+H618</f>
        <v>2683.4</v>
      </c>
      <c r="I615" s="370"/>
      <c r="J615" s="370">
        <f t="shared" si="78"/>
        <v>99.91808162049449</v>
      </c>
    </row>
    <row r="616" spans="1:10" ht="36">
      <c r="A616" s="57" t="s">
        <v>613</v>
      </c>
      <c r="B616" s="55" t="s">
        <v>419</v>
      </c>
      <c r="C616" s="55" t="s">
        <v>1105</v>
      </c>
      <c r="D616" s="55" t="s">
        <v>1412</v>
      </c>
      <c r="E616" s="55" t="s">
        <v>554</v>
      </c>
      <c r="F616" s="60">
        <v>0</v>
      </c>
      <c r="G616" s="60">
        <f>209.1+156.3+195.8+160.4+399.9+955+0.1</f>
        <v>2076.6</v>
      </c>
      <c r="H616" s="60">
        <f>209.1+156.3+195.8+160.4+399.9+955+0.1</f>
        <v>2076.6</v>
      </c>
      <c r="I616" s="370"/>
      <c r="J616" s="370">
        <f t="shared" si="78"/>
        <v>100</v>
      </c>
    </row>
    <row r="617" spans="1:10" ht="24">
      <c r="A617" s="395" t="s">
        <v>466</v>
      </c>
      <c r="B617" s="55" t="s">
        <v>419</v>
      </c>
      <c r="C617" s="55" t="s">
        <v>1105</v>
      </c>
      <c r="D617" s="55" t="s">
        <v>1414</v>
      </c>
      <c r="E617" s="55" t="s">
        <v>554</v>
      </c>
      <c r="F617" s="60">
        <v>0</v>
      </c>
      <c r="G617" s="60">
        <v>225</v>
      </c>
      <c r="H617" s="60">
        <v>222.8</v>
      </c>
      <c r="I617" s="370"/>
      <c r="J617" s="370">
        <f t="shared" si="78"/>
        <v>99.02222222222223</v>
      </c>
    </row>
    <row r="618" spans="1:10" ht="24">
      <c r="A618" s="395" t="s">
        <v>1415</v>
      </c>
      <c r="B618" s="55" t="s">
        <v>419</v>
      </c>
      <c r="C618" s="55" t="s">
        <v>1105</v>
      </c>
      <c r="D618" s="55" t="s">
        <v>1414</v>
      </c>
      <c r="E618" s="55" t="s">
        <v>554</v>
      </c>
      <c r="F618" s="60">
        <v>0</v>
      </c>
      <c r="G618" s="60">
        <f>136+248</f>
        <v>384</v>
      </c>
      <c r="H618" s="60">
        <f>136+248</f>
        <v>384</v>
      </c>
      <c r="I618" s="370"/>
      <c r="J618" s="370">
        <f t="shared" si="78"/>
        <v>100</v>
      </c>
    </row>
    <row r="619" spans="1:10" ht="36">
      <c r="A619" s="62" t="s">
        <v>139</v>
      </c>
      <c r="B619" s="55" t="s">
        <v>419</v>
      </c>
      <c r="C619" s="55" t="s">
        <v>1105</v>
      </c>
      <c r="D619" s="55" t="s">
        <v>1416</v>
      </c>
      <c r="E619" s="55" t="s">
        <v>1454</v>
      </c>
      <c r="F619" s="153">
        <f>F620</f>
        <v>0</v>
      </c>
      <c r="G619" s="153">
        <f>G620</f>
        <v>100</v>
      </c>
      <c r="H619" s="153">
        <f>H620</f>
        <v>100</v>
      </c>
      <c r="I619" s="370"/>
      <c r="J619" s="370">
        <f t="shared" si="78"/>
        <v>100</v>
      </c>
    </row>
    <row r="620" spans="1:10" ht="24">
      <c r="A620" s="57" t="s">
        <v>141</v>
      </c>
      <c r="B620" s="55" t="s">
        <v>419</v>
      </c>
      <c r="C620" s="55" t="s">
        <v>1105</v>
      </c>
      <c r="D620" s="55" t="s">
        <v>1416</v>
      </c>
      <c r="E620" s="55" t="s">
        <v>554</v>
      </c>
      <c r="F620" s="60">
        <v>0</v>
      </c>
      <c r="G620" s="60">
        <v>100</v>
      </c>
      <c r="H620" s="60">
        <v>100</v>
      </c>
      <c r="I620" s="370"/>
      <c r="J620" s="370">
        <f t="shared" si="78"/>
        <v>100</v>
      </c>
    </row>
    <row r="621" spans="1:10" ht="24">
      <c r="A621" s="395" t="s">
        <v>466</v>
      </c>
      <c r="B621" s="55" t="s">
        <v>419</v>
      </c>
      <c r="C621" s="55" t="s">
        <v>1105</v>
      </c>
      <c r="D621" s="55" t="s">
        <v>1416</v>
      </c>
      <c r="E621" s="55" t="s">
        <v>554</v>
      </c>
      <c r="F621" s="60">
        <v>0</v>
      </c>
      <c r="G621" s="60">
        <v>100</v>
      </c>
      <c r="H621" s="60">
        <v>100</v>
      </c>
      <c r="I621" s="370"/>
      <c r="J621" s="370">
        <f t="shared" si="78"/>
        <v>100</v>
      </c>
    </row>
    <row r="622" spans="1:10" ht="36">
      <c r="A622" s="62" t="s">
        <v>139</v>
      </c>
      <c r="B622" s="55" t="s">
        <v>1417</v>
      </c>
      <c r="C622" s="55" t="s">
        <v>1105</v>
      </c>
      <c r="D622" s="55" t="s">
        <v>1418</v>
      </c>
      <c r="E622" s="55" t="s">
        <v>1454</v>
      </c>
      <c r="F622" s="153">
        <f aca="true" t="shared" si="80" ref="F622:H623">F623</f>
        <v>0</v>
      </c>
      <c r="G622" s="153">
        <f t="shared" si="80"/>
        <v>28</v>
      </c>
      <c r="H622" s="153">
        <f t="shared" si="80"/>
        <v>28</v>
      </c>
      <c r="I622" s="370"/>
      <c r="J622" s="370">
        <f t="shared" si="78"/>
        <v>100</v>
      </c>
    </row>
    <row r="623" spans="1:10" ht="24">
      <c r="A623" s="57" t="s">
        <v>141</v>
      </c>
      <c r="B623" s="55" t="s">
        <v>419</v>
      </c>
      <c r="C623" s="55" t="s">
        <v>1105</v>
      </c>
      <c r="D623" s="55" t="s">
        <v>1418</v>
      </c>
      <c r="E623" s="55" t="s">
        <v>554</v>
      </c>
      <c r="F623" s="60">
        <f t="shared" si="80"/>
        <v>0</v>
      </c>
      <c r="G623" s="60">
        <f t="shared" si="80"/>
        <v>28</v>
      </c>
      <c r="H623" s="60">
        <f t="shared" si="80"/>
        <v>28</v>
      </c>
      <c r="I623" s="370"/>
      <c r="J623" s="370">
        <f t="shared" si="78"/>
        <v>100</v>
      </c>
    </row>
    <row r="624" spans="1:10" ht="24">
      <c r="A624" s="395" t="s">
        <v>466</v>
      </c>
      <c r="B624" s="55" t="s">
        <v>419</v>
      </c>
      <c r="C624" s="55" t="s">
        <v>1105</v>
      </c>
      <c r="D624" s="55" t="s">
        <v>1418</v>
      </c>
      <c r="E624" s="55" t="s">
        <v>554</v>
      </c>
      <c r="F624" s="60">
        <v>0</v>
      </c>
      <c r="G624" s="60">
        <v>28</v>
      </c>
      <c r="H624" s="60">
        <v>28</v>
      </c>
      <c r="I624" s="370"/>
      <c r="J624" s="370">
        <f t="shared" si="78"/>
        <v>100</v>
      </c>
    </row>
    <row r="625" spans="1:10" ht="60">
      <c r="A625" s="62" t="s">
        <v>1054</v>
      </c>
      <c r="B625" s="55" t="s">
        <v>419</v>
      </c>
      <c r="C625" s="55" t="s">
        <v>1105</v>
      </c>
      <c r="D625" s="55" t="s">
        <v>1055</v>
      </c>
      <c r="E625" s="55"/>
      <c r="F625" s="153">
        <f aca="true" t="shared" si="81" ref="F625:H626">F626</f>
        <v>0</v>
      </c>
      <c r="G625" s="153">
        <f t="shared" si="81"/>
        <v>1400</v>
      </c>
      <c r="H625" s="153">
        <f t="shared" si="81"/>
        <v>1397.7</v>
      </c>
      <c r="I625" s="370"/>
      <c r="J625" s="370">
        <f t="shared" si="78"/>
        <v>99.83571428571429</v>
      </c>
    </row>
    <row r="626" spans="1:10" ht="36">
      <c r="A626" s="62" t="s">
        <v>139</v>
      </c>
      <c r="B626" s="55" t="s">
        <v>419</v>
      </c>
      <c r="C626" s="55" t="s">
        <v>1105</v>
      </c>
      <c r="D626" s="55" t="s">
        <v>1055</v>
      </c>
      <c r="E626" s="55" t="s">
        <v>1454</v>
      </c>
      <c r="F626" s="153">
        <f t="shared" si="81"/>
        <v>0</v>
      </c>
      <c r="G626" s="153">
        <f t="shared" si="81"/>
        <v>1400</v>
      </c>
      <c r="H626" s="153">
        <f t="shared" si="81"/>
        <v>1397.7</v>
      </c>
      <c r="I626" s="370"/>
      <c r="J626" s="370">
        <f t="shared" si="78"/>
        <v>99.83571428571429</v>
      </c>
    </row>
    <row r="627" spans="1:10" ht="24">
      <c r="A627" s="57" t="s">
        <v>1419</v>
      </c>
      <c r="B627" s="55" t="s">
        <v>419</v>
      </c>
      <c r="C627" s="55" t="s">
        <v>1105</v>
      </c>
      <c r="D627" s="55" t="s">
        <v>1055</v>
      </c>
      <c r="E627" s="55" t="s">
        <v>554</v>
      </c>
      <c r="F627" s="60">
        <v>0</v>
      </c>
      <c r="G627" s="60">
        <f>2400-1000</f>
        <v>1400</v>
      </c>
      <c r="H627" s="60">
        <v>1397.7</v>
      </c>
      <c r="I627" s="370"/>
      <c r="J627" s="370">
        <f t="shared" si="78"/>
        <v>99.83571428571429</v>
      </c>
    </row>
    <row r="628" spans="1:10" ht="24">
      <c r="A628" s="61" t="s">
        <v>1076</v>
      </c>
      <c r="B628" s="55" t="s">
        <v>419</v>
      </c>
      <c r="C628" s="55" t="s">
        <v>1151</v>
      </c>
      <c r="D628" s="55"/>
      <c r="E628" s="55"/>
      <c r="F628" s="153">
        <f>F630+F638+F655</f>
        <v>133797</v>
      </c>
      <c r="G628" s="153">
        <f>G630+G638+G655</f>
        <v>107467</v>
      </c>
      <c r="H628" s="153">
        <f>H630+H638+H655</f>
        <v>106556.4</v>
      </c>
      <c r="I628" s="370">
        <f t="shared" si="77"/>
        <v>79.64035068050853</v>
      </c>
      <c r="J628" s="370">
        <f t="shared" si="78"/>
        <v>99.15267012199092</v>
      </c>
    </row>
    <row r="629" spans="1:10" ht="24">
      <c r="A629" s="382" t="s">
        <v>608</v>
      </c>
      <c r="B629" s="55" t="s">
        <v>419</v>
      </c>
      <c r="C629" s="55" t="s">
        <v>1151</v>
      </c>
      <c r="D629" s="55" t="s">
        <v>1251</v>
      </c>
      <c r="E629" s="55"/>
      <c r="F629" s="153">
        <f>F630</f>
        <v>30304</v>
      </c>
      <c r="G629" s="153">
        <f>G630</f>
        <v>3554</v>
      </c>
      <c r="H629" s="153">
        <f>H630</f>
        <v>3408.8</v>
      </c>
      <c r="I629" s="370">
        <f t="shared" si="77"/>
        <v>11.248680042238648</v>
      </c>
      <c r="J629" s="370">
        <f t="shared" si="78"/>
        <v>95.9144625773776</v>
      </c>
    </row>
    <row r="630" spans="1:10" ht="24">
      <c r="A630" s="73" t="s">
        <v>1134</v>
      </c>
      <c r="B630" s="55" t="s">
        <v>419</v>
      </c>
      <c r="C630" s="55" t="s">
        <v>1151</v>
      </c>
      <c r="D630" s="55" t="s">
        <v>1404</v>
      </c>
      <c r="E630" s="55" t="s">
        <v>920</v>
      </c>
      <c r="F630" s="153">
        <f>SUM(F631:F631)</f>
        <v>30304</v>
      </c>
      <c r="G630" s="153">
        <f>SUM(G631:G631)</f>
        <v>3554</v>
      </c>
      <c r="H630" s="153">
        <f>SUM(H631:H631)</f>
        <v>3408.8</v>
      </c>
      <c r="I630" s="370">
        <f t="shared" si="77"/>
        <v>11.248680042238648</v>
      </c>
      <c r="J630" s="370">
        <f t="shared" si="78"/>
        <v>95.9144625773776</v>
      </c>
    </row>
    <row r="631" spans="1:10" ht="24">
      <c r="A631" s="57" t="s">
        <v>848</v>
      </c>
      <c r="B631" s="55" t="s">
        <v>419</v>
      </c>
      <c r="C631" s="55" t="s">
        <v>1151</v>
      </c>
      <c r="D631" s="55" t="s">
        <v>1404</v>
      </c>
      <c r="E631" s="55" t="s">
        <v>920</v>
      </c>
      <c r="F631" s="153">
        <f>F633+F634+F636</f>
        <v>30304</v>
      </c>
      <c r="G631" s="153">
        <f>G633+G634+G636</f>
        <v>3554</v>
      </c>
      <c r="H631" s="153">
        <f>H633+H634+H636</f>
        <v>3408.8</v>
      </c>
      <c r="I631" s="370">
        <f t="shared" si="77"/>
        <v>11.248680042238648</v>
      </c>
      <c r="J631" s="370">
        <f t="shared" si="78"/>
        <v>95.9144625773776</v>
      </c>
    </row>
    <row r="632" spans="1:10" ht="24">
      <c r="A632" s="126" t="s">
        <v>68</v>
      </c>
      <c r="B632" s="55" t="s">
        <v>419</v>
      </c>
      <c r="C632" s="55" t="s">
        <v>1151</v>
      </c>
      <c r="D632" s="55" t="s">
        <v>1404</v>
      </c>
      <c r="E632" s="55" t="s">
        <v>528</v>
      </c>
      <c r="F632" s="153">
        <f>F633</f>
        <v>218</v>
      </c>
      <c r="G632" s="153">
        <f>G633</f>
        <v>218</v>
      </c>
      <c r="H632" s="153">
        <f>H633</f>
        <v>111.4</v>
      </c>
      <c r="I632" s="370">
        <f t="shared" si="77"/>
        <v>51.10091743119266</v>
      </c>
      <c r="J632" s="370">
        <f t="shared" si="78"/>
        <v>51.10091743119266</v>
      </c>
    </row>
    <row r="633" spans="1:10" ht="24">
      <c r="A633" s="206" t="s">
        <v>69</v>
      </c>
      <c r="B633" s="55" t="s">
        <v>419</v>
      </c>
      <c r="C633" s="55" t="s">
        <v>1151</v>
      </c>
      <c r="D633" s="55" t="s">
        <v>1404</v>
      </c>
      <c r="E633" s="55" t="s">
        <v>1486</v>
      </c>
      <c r="F633" s="60">
        <f>218</f>
        <v>218</v>
      </c>
      <c r="G633" s="60">
        <f>218</f>
        <v>218</v>
      </c>
      <c r="H633" s="60">
        <v>111.4</v>
      </c>
      <c r="I633" s="370">
        <f t="shared" si="77"/>
        <v>51.10091743119266</v>
      </c>
      <c r="J633" s="370">
        <f t="shared" si="78"/>
        <v>51.10091743119266</v>
      </c>
    </row>
    <row r="634" spans="1:10" ht="39.75" customHeight="1">
      <c r="A634" s="206" t="s">
        <v>154</v>
      </c>
      <c r="B634" s="55" t="s">
        <v>419</v>
      </c>
      <c r="C634" s="55" t="s">
        <v>1151</v>
      </c>
      <c r="D634" s="55" t="s">
        <v>1404</v>
      </c>
      <c r="E634" s="55" t="s">
        <v>552</v>
      </c>
      <c r="F634" s="153">
        <f>F635</f>
        <v>30000</v>
      </c>
      <c r="G634" s="153">
        <f>G635</f>
        <v>3250</v>
      </c>
      <c r="H634" s="153">
        <f>H635</f>
        <v>3250</v>
      </c>
      <c r="I634" s="370">
        <f t="shared" si="77"/>
        <v>10.833333333333334</v>
      </c>
      <c r="J634" s="370">
        <f t="shared" si="78"/>
        <v>100</v>
      </c>
    </row>
    <row r="635" spans="1:10" ht="48">
      <c r="A635" s="57" t="s">
        <v>1420</v>
      </c>
      <c r="B635" s="55" t="s">
        <v>419</v>
      </c>
      <c r="C635" s="55" t="s">
        <v>1151</v>
      </c>
      <c r="D635" s="55" t="s">
        <v>1404</v>
      </c>
      <c r="E635" s="55" t="s">
        <v>1421</v>
      </c>
      <c r="F635" s="60">
        <f>30000</f>
        <v>30000</v>
      </c>
      <c r="G635" s="60">
        <f>30000+3250+3921.8-33273.8-648</f>
        <v>3250</v>
      </c>
      <c r="H635" s="60">
        <f>30000+3250+3921.8-33273.8-648</f>
        <v>3250</v>
      </c>
      <c r="I635" s="370">
        <f t="shared" si="77"/>
        <v>10.833333333333334</v>
      </c>
      <c r="J635" s="370">
        <f t="shared" si="78"/>
        <v>100</v>
      </c>
    </row>
    <row r="636" spans="1:10" ht="24">
      <c r="A636" s="206" t="s">
        <v>793</v>
      </c>
      <c r="B636" s="55" t="s">
        <v>419</v>
      </c>
      <c r="C636" s="55" t="s">
        <v>1151</v>
      </c>
      <c r="D636" s="55" t="s">
        <v>1404</v>
      </c>
      <c r="E636" s="55" t="s">
        <v>794</v>
      </c>
      <c r="F636" s="153">
        <f>F637</f>
        <v>86</v>
      </c>
      <c r="G636" s="153">
        <f>G637</f>
        <v>86</v>
      </c>
      <c r="H636" s="153">
        <f>H637</f>
        <v>47.4</v>
      </c>
      <c r="I636" s="370">
        <f t="shared" si="77"/>
        <v>55.11627906976744</v>
      </c>
      <c r="J636" s="370">
        <f t="shared" si="78"/>
        <v>55.11627906976744</v>
      </c>
    </row>
    <row r="637" spans="1:10" ht="24">
      <c r="A637" s="206" t="s">
        <v>70</v>
      </c>
      <c r="B637" s="55" t="s">
        <v>419</v>
      </c>
      <c r="C637" s="55" t="s">
        <v>1151</v>
      </c>
      <c r="D637" s="55" t="s">
        <v>1404</v>
      </c>
      <c r="E637" s="55" t="s">
        <v>71</v>
      </c>
      <c r="F637" s="60">
        <v>86</v>
      </c>
      <c r="G637" s="60">
        <v>86</v>
      </c>
      <c r="H637" s="60">
        <v>47.4</v>
      </c>
      <c r="I637" s="370">
        <f t="shared" si="77"/>
        <v>55.11627906976744</v>
      </c>
      <c r="J637" s="370">
        <f t="shared" si="78"/>
        <v>55.11627906976744</v>
      </c>
    </row>
    <row r="638" spans="1:10" ht="48">
      <c r="A638" s="62" t="s">
        <v>1422</v>
      </c>
      <c r="B638" s="55" t="s">
        <v>419</v>
      </c>
      <c r="C638" s="55" t="s">
        <v>1151</v>
      </c>
      <c r="D638" s="55" t="s">
        <v>1423</v>
      </c>
      <c r="E638" s="55"/>
      <c r="F638" s="153">
        <f>F639+F642+F647+F650</f>
        <v>103493</v>
      </c>
      <c r="G638" s="153">
        <f>G639+G642+G647+G650</f>
        <v>102913</v>
      </c>
      <c r="H638" s="153">
        <f>H639+H642+H647+H650</f>
        <v>102277.7</v>
      </c>
      <c r="I638" s="370">
        <f t="shared" si="77"/>
        <v>98.82571768138908</v>
      </c>
      <c r="J638" s="370">
        <f t="shared" si="78"/>
        <v>99.38268245994189</v>
      </c>
    </row>
    <row r="639" spans="1:10" ht="69.75" customHeight="1">
      <c r="A639" s="62" t="s">
        <v>1424</v>
      </c>
      <c r="B639" s="55" t="s">
        <v>419</v>
      </c>
      <c r="C639" s="55" t="s">
        <v>1151</v>
      </c>
      <c r="D639" s="55" t="s">
        <v>1425</v>
      </c>
      <c r="E639" s="55"/>
      <c r="F639" s="153">
        <f aca="true" t="shared" si="82" ref="F639:H640">F640</f>
        <v>0</v>
      </c>
      <c r="G639" s="153">
        <f t="shared" si="82"/>
        <v>566</v>
      </c>
      <c r="H639" s="153">
        <f t="shared" si="82"/>
        <v>566</v>
      </c>
      <c r="I639" s="370"/>
      <c r="J639" s="370">
        <f t="shared" si="78"/>
        <v>100</v>
      </c>
    </row>
    <row r="640" spans="1:10" ht="36">
      <c r="A640" s="62" t="s">
        <v>139</v>
      </c>
      <c r="B640" s="55" t="s">
        <v>419</v>
      </c>
      <c r="C640" s="55" t="s">
        <v>1151</v>
      </c>
      <c r="D640" s="55" t="s">
        <v>1425</v>
      </c>
      <c r="E640" s="55" t="s">
        <v>1454</v>
      </c>
      <c r="F640" s="153">
        <f t="shared" si="82"/>
        <v>0</v>
      </c>
      <c r="G640" s="153">
        <f t="shared" si="82"/>
        <v>566</v>
      </c>
      <c r="H640" s="153">
        <f t="shared" si="82"/>
        <v>566</v>
      </c>
      <c r="I640" s="370"/>
      <c r="J640" s="370">
        <f t="shared" si="78"/>
        <v>100</v>
      </c>
    </row>
    <row r="641" spans="1:10" ht="24">
      <c r="A641" s="57" t="s">
        <v>553</v>
      </c>
      <c r="B641" s="55" t="s">
        <v>419</v>
      </c>
      <c r="C641" s="55" t="s">
        <v>1151</v>
      </c>
      <c r="D641" s="55" t="s">
        <v>1425</v>
      </c>
      <c r="E641" s="55" t="s">
        <v>554</v>
      </c>
      <c r="F641" s="60">
        <v>0</v>
      </c>
      <c r="G641" s="60">
        <v>566</v>
      </c>
      <c r="H641" s="60">
        <v>566</v>
      </c>
      <c r="I641" s="370"/>
      <c r="J641" s="370">
        <f t="shared" si="78"/>
        <v>100</v>
      </c>
    </row>
    <row r="642" spans="1:10" ht="24">
      <c r="A642" s="57" t="s">
        <v>531</v>
      </c>
      <c r="B642" s="55" t="s">
        <v>419</v>
      </c>
      <c r="C642" s="55" t="s">
        <v>1151</v>
      </c>
      <c r="D642" s="55" t="s">
        <v>1426</v>
      </c>
      <c r="E642" s="55" t="s">
        <v>920</v>
      </c>
      <c r="F642" s="153">
        <f>F643+F645</f>
        <v>15257</v>
      </c>
      <c r="G642" s="153">
        <f>G643+G645</f>
        <v>13078</v>
      </c>
      <c r="H642" s="153">
        <f>H643+H645</f>
        <v>12506.2</v>
      </c>
      <c r="I642" s="370">
        <f t="shared" si="77"/>
        <v>81.97024316707086</v>
      </c>
      <c r="J642" s="370">
        <f t="shared" si="78"/>
        <v>95.62777183055515</v>
      </c>
    </row>
    <row r="643" spans="1:10" ht="60">
      <c r="A643" s="206" t="s">
        <v>63</v>
      </c>
      <c r="B643" s="55" t="s">
        <v>419</v>
      </c>
      <c r="C643" s="55" t="s">
        <v>1151</v>
      </c>
      <c r="D643" s="55" t="s">
        <v>1426</v>
      </c>
      <c r="E643" s="55" t="s">
        <v>64</v>
      </c>
      <c r="F643" s="153">
        <f>F644</f>
        <v>14084</v>
      </c>
      <c r="G643" s="153">
        <f>G644</f>
        <v>11892</v>
      </c>
      <c r="H643" s="153">
        <f>H644</f>
        <v>11339</v>
      </c>
      <c r="I643" s="370">
        <f t="shared" si="77"/>
        <v>80.5097983527407</v>
      </c>
      <c r="J643" s="370">
        <f t="shared" si="78"/>
        <v>95.3498150016818</v>
      </c>
    </row>
    <row r="644" spans="1:10" ht="24">
      <c r="A644" s="57" t="s">
        <v>1427</v>
      </c>
      <c r="B644" s="55" t="s">
        <v>419</v>
      </c>
      <c r="C644" s="55" t="s">
        <v>1151</v>
      </c>
      <c r="D644" s="55" t="s">
        <v>1426</v>
      </c>
      <c r="E644" s="55" t="s">
        <v>527</v>
      </c>
      <c r="F644" s="60">
        <f>14084</f>
        <v>14084</v>
      </c>
      <c r="G644" s="60">
        <f>14084-1535.3-463.7-90-13-90</f>
        <v>11892</v>
      </c>
      <c r="H644" s="60">
        <v>11339</v>
      </c>
      <c r="I644" s="370">
        <f t="shared" si="77"/>
        <v>80.5097983527407</v>
      </c>
      <c r="J644" s="370">
        <f t="shared" si="78"/>
        <v>95.3498150016818</v>
      </c>
    </row>
    <row r="645" spans="1:10" ht="24">
      <c r="A645" s="126" t="s">
        <v>68</v>
      </c>
      <c r="B645" s="55" t="s">
        <v>419</v>
      </c>
      <c r="C645" s="55" t="s">
        <v>1151</v>
      </c>
      <c r="D645" s="55" t="s">
        <v>1426</v>
      </c>
      <c r="E645" s="55" t="s">
        <v>528</v>
      </c>
      <c r="F645" s="153">
        <f>F646</f>
        <v>1173</v>
      </c>
      <c r="G645" s="153">
        <f>G646</f>
        <v>1186</v>
      </c>
      <c r="H645" s="153">
        <f>H646</f>
        <v>1167.2</v>
      </c>
      <c r="I645" s="370">
        <f t="shared" si="77"/>
        <v>99.50554134697359</v>
      </c>
      <c r="J645" s="370">
        <f t="shared" si="78"/>
        <v>98.41483979763913</v>
      </c>
    </row>
    <row r="646" spans="1:10" ht="24">
      <c r="A646" s="206" t="s">
        <v>69</v>
      </c>
      <c r="B646" s="55" t="s">
        <v>419</v>
      </c>
      <c r="C646" s="55" t="s">
        <v>1151</v>
      </c>
      <c r="D646" s="55" t="s">
        <v>1426</v>
      </c>
      <c r="E646" s="55" t="s">
        <v>1486</v>
      </c>
      <c r="F646" s="60">
        <f>1173</f>
        <v>1173</v>
      </c>
      <c r="G646" s="60">
        <f>1173+13</f>
        <v>1186</v>
      </c>
      <c r="H646" s="60">
        <v>1167.2</v>
      </c>
      <c r="I646" s="370">
        <f t="shared" si="77"/>
        <v>99.50554134697359</v>
      </c>
      <c r="J646" s="370">
        <f t="shared" si="78"/>
        <v>98.41483979763913</v>
      </c>
    </row>
    <row r="647" spans="1:10" ht="24">
      <c r="A647" s="207" t="s">
        <v>1487</v>
      </c>
      <c r="B647" s="55" t="s">
        <v>419</v>
      </c>
      <c r="C647" s="55" t="s">
        <v>1151</v>
      </c>
      <c r="D647" s="55" t="s">
        <v>1426</v>
      </c>
      <c r="E647" s="55" t="s">
        <v>920</v>
      </c>
      <c r="F647" s="153">
        <f aca="true" t="shared" si="83" ref="F647:H648">F648</f>
        <v>176</v>
      </c>
      <c r="G647" s="153">
        <f t="shared" si="83"/>
        <v>176</v>
      </c>
      <c r="H647" s="153">
        <f t="shared" si="83"/>
        <v>112.5</v>
      </c>
      <c r="I647" s="370">
        <f t="shared" si="77"/>
        <v>63.92045454545454</v>
      </c>
      <c r="J647" s="370">
        <f t="shared" si="78"/>
        <v>63.92045454545454</v>
      </c>
    </row>
    <row r="648" spans="1:10" ht="24">
      <c r="A648" s="206" t="s">
        <v>793</v>
      </c>
      <c r="B648" s="55" t="s">
        <v>419</v>
      </c>
      <c r="C648" s="55" t="s">
        <v>1151</v>
      </c>
      <c r="D648" s="55" t="s">
        <v>1426</v>
      </c>
      <c r="E648" s="55" t="s">
        <v>794</v>
      </c>
      <c r="F648" s="153">
        <f t="shared" si="83"/>
        <v>176</v>
      </c>
      <c r="G648" s="153">
        <f t="shared" si="83"/>
        <v>176</v>
      </c>
      <c r="H648" s="153">
        <f t="shared" si="83"/>
        <v>112.5</v>
      </c>
      <c r="I648" s="370">
        <f t="shared" si="77"/>
        <v>63.92045454545454</v>
      </c>
      <c r="J648" s="370">
        <f t="shared" si="78"/>
        <v>63.92045454545454</v>
      </c>
    </row>
    <row r="649" spans="1:10" ht="24">
      <c r="A649" s="206" t="s">
        <v>70</v>
      </c>
      <c r="B649" s="55" t="s">
        <v>419</v>
      </c>
      <c r="C649" s="55" t="s">
        <v>1151</v>
      </c>
      <c r="D649" s="55" t="s">
        <v>1426</v>
      </c>
      <c r="E649" s="55" t="s">
        <v>71</v>
      </c>
      <c r="F649" s="60">
        <v>176</v>
      </c>
      <c r="G649" s="60">
        <v>176</v>
      </c>
      <c r="H649" s="60">
        <v>112.5</v>
      </c>
      <c r="I649" s="370">
        <f t="shared" si="77"/>
        <v>63.92045454545454</v>
      </c>
      <c r="J649" s="370">
        <f t="shared" si="78"/>
        <v>63.92045454545454</v>
      </c>
    </row>
    <row r="650" spans="1:10" ht="60">
      <c r="A650" s="73" t="s">
        <v>1132</v>
      </c>
      <c r="B650" s="55" t="s">
        <v>419</v>
      </c>
      <c r="C650" s="55" t="s">
        <v>1151</v>
      </c>
      <c r="D650" s="55" t="s">
        <v>1428</v>
      </c>
      <c r="E650" s="55" t="s">
        <v>920</v>
      </c>
      <c r="F650" s="153">
        <f aca="true" t="shared" si="84" ref="F650:H652">F651</f>
        <v>88060</v>
      </c>
      <c r="G650" s="153">
        <f t="shared" si="84"/>
        <v>89093</v>
      </c>
      <c r="H650" s="153">
        <f t="shared" si="84"/>
        <v>89093</v>
      </c>
      <c r="I650" s="370">
        <f t="shared" si="77"/>
        <v>101.17306382012264</v>
      </c>
      <c r="J650" s="370">
        <f t="shared" si="78"/>
        <v>100</v>
      </c>
    </row>
    <row r="651" spans="1:10" ht="24">
      <c r="A651" s="57" t="s">
        <v>460</v>
      </c>
      <c r="B651" s="55" t="s">
        <v>419</v>
      </c>
      <c r="C651" s="55" t="s">
        <v>1151</v>
      </c>
      <c r="D651" s="55" t="s">
        <v>1428</v>
      </c>
      <c r="E651" s="55" t="s">
        <v>920</v>
      </c>
      <c r="F651" s="153">
        <f t="shared" si="84"/>
        <v>88060</v>
      </c>
      <c r="G651" s="153">
        <f t="shared" si="84"/>
        <v>89093</v>
      </c>
      <c r="H651" s="153">
        <f t="shared" si="84"/>
        <v>89093</v>
      </c>
      <c r="I651" s="370">
        <f t="shared" si="77"/>
        <v>101.17306382012264</v>
      </c>
      <c r="J651" s="370">
        <f t="shared" si="78"/>
        <v>100</v>
      </c>
    </row>
    <row r="652" spans="1:10" ht="36">
      <c r="A652" s="62" t="s">
        <v>139</v>
      </c>
      <c r="B652" s="55" t="s">
        <v>419</v>
      </c>
      <c r="C652" s="55" t="s">
        <v>1151</v>
      </c>
      <c r="D652" s="55" t="s">
        <v>1428</v>
      </c>
      <c r="E652" s="55" t="s">
        <v>1454</v>
      </c>
      <c r="F652" s="153">
        <f t="shared" si="84"/>
        <v>88060</v>
      </c>
      <c r="G652" s="153">
        <f t="shared" si="84"/>
        <v>89093</v>
      </c>
      <c r="H652" s="153">
        <f t="shared" si="84"/>
        <v>89093</v>
      </c>
      <c r="I652" s="370">
        <f t="shared" si="77"/>
        <v>101.17306382012264</v>
      </c>
      <c r="J652" s="370">
        <f t="shared" si="78"/>
        <v>100</v>
      </c>
    </row>
    <row r="653" spans="1:10" ht="24">
      <c r="A653" s="57" t="s">
        <v>512</v>
      </c>
      <c r="B653" s="55" t="s">
        <v>419</v>
      </c>
      <c r="C653" s="55" t="s">
        <v>1151</v>
      </c>
      <c r="D653" s="55" t="s">
        <v>1428</v>
      </c>
      <c r="E653" s="55" t="s">
        <v>554</v>
      </c>
      <c r="F653" s="60">
        <v>88060</v>
      </c>
      <c r="G653" s="60">
        <f>86916+1144+180+493+360</f>
        <v>89093</v>
      </c>
      <c r="H653" s="60">
        <f>86916+1144+180+493+360</f>
        <v>89093</v>
      </c>
      <c r="I653" s="370">
        <f t="shared" si="77"/>
        <v>101.17306382012264</v>
      </c>
      <c r="J653" s="370">
        <f t="shared" si="78"/>
        <v>100</v>
      </c>
    </row>
    <row r="654" spans="1:10" ht="36">
      <c r="A654" s="57" t="s">
        <v>1429</v>
      </c>
      <c r="B654" s="55" t="s">
        <v>419</v>
      </c>
      <c r="C654" s="55" t="s">
        <v>1151</v>
      </c>
      <c r="D654" s="55" t="s">
        <v>1428</v>
      </c>
      <c r="E654" s="55" t="s">
        <v>554</v>
      </c>
      <c r="F654" s="60">
        <v>0</v>
      </c>
      <c r="G654" s="60">
        <v>180</v>
      </c>
      <c r="H654" s="60">
        <v>180</v>
      </c>
      <c r="I654" s="370"/>
      <c r="J654" s="370">
        <f t="shared" si="78"/>
        <v>100</v>
      </c>
    </row>
    <row r="655" spans="1:10" ht="60">
      <c r="A655" s="62" t="s">
        <v>1054</v>
      </c>
      <c r="B655" s="55" t="s">
        <v>419</v>
      </c>
      <c r="C655" s="55" t="s">
        <v>1151</v>
      </c>
      <c r="D655" s="55" t="s">
        <v>1055</v>
      </c>
      <c r="E655" s="55"/>
      <c r="F655" s="153">
        <f aca="true" t="shared" si="85" ref="F655:H656">F656</f>
        <v>0</v>
      </c>
      <c r="G655" s="153">
        <f t="shared" si="85"/>
        <v>1000</v>
      </c>
      <c r="H655" s="153">
        <f t="shared" si="85"/>
        <v>869.9</v>
      </c>
      <c r="I655" s="370"/>
      <c r="J655" s="370">
        <f t="shared" si="78"/>
        <v>86.99</v>
      </c>
    </row>
    <row r="656" spans="1:10" ht="36">
      <c r="A656" s="62" t="s">
        <v>139</v>
      </c>
      <c r="B656" s="55" t="s">
        <v>419</v>
      </c>
      <c r="C656" s="55" t="s">
        <v>1151</v>
      </c>
      <c r="D656" s="55" t="s">
        <v>1055</v>
      </c>
      <c r="E656" s="55" t="s">
        <v>1454</v>
      </c>
      <c r="F656" s="153">
        <f t="shared" si="85"/>
        <v>0</v>
      </c>
      <c r="G656" s="153">
        <f t="shared" si="85"/>
        <v>1000</v>
      </c>
      <c r="H656" s="153">
        <f t="shared" si="85"/>
        <v>869.9</v>
      </c>
      <c r="I656" s="370"/>
      <c r="J656" s="370">
        <f t="shared" si="78"/>
        <v>86.99</v>
      </c>
    </row>
    <row r="657" spans="1:10" ht="24">
      <c r="A657" s="57" t="s">
        <v>1419</v>
      </c>
      <c r="B657" s="55" t="s">
        <v>419</v>
      </c>
      <c r="C657" s="55" t="s">
        <v>1151</v>
      </c>
      <c r="D657" s="55" t="s">
        <v>1055</v>
      </c>
      <c r="E657" s="55" t="s">
        <v>554</v>
      </c>
      <c r="F657" s="60">
        <v>0</v>
      </c>
      <c r="G657" s="60">
        <v>1000</v>
      </c>
      <c r="H657" s="60">
        <v>869.9</v>
      </c>
      <c r="I657" s="370"/>
      <c r="J657" s="370">
        <f t="shared" si="78"/>
        <v>86.99</v>
      </c>
    </row>
    <row r="658" spans="1:10" ht="24.75" customHeight="1">
      <c r="A658" s="124" t="s">
        <v>849</v>
      </c>
      <c r="B658" s="69" t="s">
        <v>1291</v>
      </c>
      <c r="C658" s="69"/>
      <c r="D658" s="70"/>
      <c r="E658" s="70"/>
      <c r="F658" s="152">
        <f>F659+F677+F704+F709+F718+F726</f>
        <v>242473</v>
      </c>
      <c r="G658" s="152">
        <f>G659+G677+G704+G709+G718+G726</f>
        <v>270428.9</v>
      </c>
      <c r="H658" s="152">
        <f>H659+H677+H704+H709+H718+H726</f>
        <v>233179.9</v>
      </c>
      <c r="I658" s="370">
        <f t="shared" si="77"/>
        <v>96.16736708829437</v>
      </c>
      <c r="J658" s="370">
        <f t="shared" si="78"/>
        <v>86.22595440058366</v>
      </c>
    </row>
    <row r="659" spans="1:10" ht="14.25" customHeight="1">
      <c r="A659" s="61" t="s">
        <v>795</v>
      </c>
      <c r="B659" s="55" t="s">
        <v>1291</v>
      </c>
      <c r="C659" s="55" t="s">
        <v>1105</v>
      </c>
      <c r="D659" s="59"/>
      <c r="E659" s="59"/>
      <c r="F659" s="153">
        <f>F660</f>
        <v>121447.5</v>
      </c>
      <c r="G659" s="153">
        <f>G660</f>
        <v>144702.1</v>
      </c>
      <c r="H659" s="153">
        <f>H660</f>
        <v>127938.7</v>
      </c>
      <c r="I659" s="370">
        <f t="shared" si="77"/>
        <v>105.34486094814632</v>
      </c>
      <c r="J659" s="370">
        <f t="shared" si="78"/>
        <v>88.41523378029758</v>
      </c>
    </row>
    <row r="660" spans="1:10" ht="36">
      <c r="A660" s="72" t="s">
        <v>1430</v>
      </c>
      <c r="B660" s="55" t="s">
        <v>1291</v>
      </c>
      <c r="C660" s="55" t="s">
        <v>1105</v>
      </c>
      <c r="D660" s="55" t="s">
        <v>1431</v>
      </c>
      <c r="E660" s="55"/>
      <c r="F660" s="153">
        <f>F661+F670</f>
        <v>121447.5</v>
      </c>
      <c r="G660" s="153">
        <f>G661+G670</f>
        <v>144702.1</v>
      </c>
      <c r="H660" s="153">
        <f>H661+H670</f>
        <v>127938.7</v>
      </c>
      <c r="I660" s="370">
        <f t="shared" si="77"/>
        <v>105.34486094814632</v>
      </c>
      <c r="J660" s="370">
        <f t="shared" si="78"/>
        <v>88.41523378029758</v>
      </c>
    </row>
    <row r="661" spans="1:10" ht="60">
      <c r="A661" s="73" t="s">
        <v>1432</v>
      </c>
      <c r="B661" s="55" t="s">
        <v>1291</v>
      </c>
      <c r="C661" s="55" t="s">
        <v>1105</v>
      </c>
      <c r="D661" s="55" t="s">
        <v>1433</v>
      </c>
      <c r="E661" s="55"/>
      <c r="F661" s="153">
        <f>F662+F664+F667</f>
        <v>52748</v>
      </c>
      <c r="G661" s="153">
        <f>G662+G664+G667</f>
        <v>55016.4</v>
      </c>
      <c r="H661" s="153">
        <f>H662+H664+H667</f>
        <v>38357.7</v>
      </c>
      <c r="I661" s="370">
        <f aca="true" t="shared" si="86" ref="I661:I713">H661/F661*100</f>
        <v>72.71877606733904</v>
      </c>
      <c r="J661" s="370">
        <f aca="true" t="shared" si="87" ref="J661:J717">H661/G661*100</f>
        <v>69.72048334678385</v>
      </c>
    </row>
    <row r="662" spans="1:10" ht="36">
      <c r="A662" s="62" t="s">
        <v>139</v>
      </c>
      <c r="B662" s="55" t="s">
        <v>1291</v>
      </c>
      <c r="C662" s="55" t="s">
        <v>1105</v>
      </c>
      <c r="D662" s="55" t="s">
        <v>1434</v>
      </c>
      <c r="E662" s="55" t="s">
        <v>1454</v>
      </c>
      <c r="F662" s="153">
        <f>F663</f>
        <v>16037</v>
      </c>
      <c r="G662" s="153">
        <f>G663</f>
        <v>15689.4</v>
      </c>
      <c r="H662" s="153">
        <f>H663</f>
        <v>15659.4</v>
      </c>
      <c r="I662" s="370">
        <f t="shared" si="86"/>
        <v>97.64544490864876</v>
      </c>
      <c r="J662" s="370">
        <f t="shared" si="87"/>
        <v>99.80878809897128</v>
      </c>
    </row>
    <row r="663" spans="1:10" ht="24">
      <c r="A663" s="57" t="s">
        <v>1355</v>
      </c>
      <c r="B663" s="55" t="s">
        <v>1291</v>
      </c>
      <c r="C663" s="55" t="s">
        <v>1105</v>
      </c>
      <c r="D663" s="55" t="s">
        <v>1434</v>
      </c>
      <c r="E663" s="55" t="s">
        <v>554</v>
      </c>
      <c r="F663" s="60">
        <v>16037</v>
      </c>
      <c r="G663" s="60">
        <f>15686-1166.6+1700-530</f>
        <v>15689.4</v>
      </c>
      <c r="H663" s="60">
        <v>15659.4</v>
      </c>
      <c r="I663" s="370">
        <f t="shared" si="86"/>
        <v>97.64544490864876</v>
      </c>
      <c r="J663" s="370">
        <f t="shared" si="87"/>
        <v>99.80878809897128</v>
      </c>
    </row>
    <row r="664" spans="1:10" ht="24">
      <c r="A664" s="73" t="s">
        <v>1435</v>
      </c>
      <c r="B664" s="55" t="s">
        <v>1291</v>
      </c>
      <c r="C664" s="55" t="s">
        <v>1105</v>
      </c>
      <c r="D664" s="55" t="s">
        <v>1436</v>
      </c>
      <c r="E664" s="55" t="s">
        <v>920</v>
      </c>
      <c r="F664" s="157">
        <f>F666</f>
        <v>36196</v>
      </c>
      <c r="G664" s="157">
        <f>G666</f>
        <v>39156</v>
      </c>
      <c r="H664" s="157">
        <f>H666</f>
        <v>22669.7</v>
      </c>
      <c r="I664" s="370">
        <f t="shared" si="86"/>
        <v>62.630401149298265</v>
      </c>
      <c r="J664" s="370">
        <f t="shared" si="87"/>
        <v>57.89585248748595</v>
      </c>
    </row>
    <row r="665" spans="1:10" ht="36">
      <c r="A665" s="62" t="s">
        <v>139</v>
      </c>
      <c r="B665" s="55" t="s">
        <v>1291</v>
      </c>
      <c r="C665" s="55" t="s">
        <v>1105</v>
      </c>
      <c r="D665" s="55" t="s">
        <v>1436</v>
      </c>
      <c r="E665" s="55" t="s">
        <v>1454</v>
      </c>
      <c r="F665" s="157">
        <f>F666</f>
        <v>36196</v>
      </c>
      <c r="G665" s="157">
        <f>G666</f>
        <v>39156</v>
      </c>
      <c r="H665" s="157">
        <f>H666</f>
        <v>22669.7</v>
      </c>
      <c r="I665" s="370">
        <f t="shared" si="86"/>
        <v>62.630401149298265</v>
      </c>
      <c r="J665" s="370">
        <f t="shared" si="87"/>
        <v>57.89585248748595</v>
      </c>
    </row>
    <row r="666" spans="1:10" ht="24">
      <c r="A666" s="57" t="s">
        <v>1355</v>
      </c>
      <c r="B666" s="55" t="s">
        <v>1291</v>
      </c>
      <c r="C666" s="55" t="s">
        <v>1105</v>
      </c>
      <c r="D666" s="55" t="s">
        <v>1436</v>
      </c>
      <c r="E666" s="59" t="s">
        <v>554</v>
      </c>
      <c r="F666" s="60">
        <f>36196</f>
        <v>36196</v>
      </c>
      <c r="G666" s="60">
        <f>36196-2300-891+5151+1000-200+200</f>
        <v>39156</v>
      </c>
      <c r="H666" s="60">
        <v>22669.7</v>
      </c>
      <c r="I666" s="370">
        <f t="shared" si="86"/>
        <v>62.630401149298265</v>
      </c>
      <c r="J666" s="370">
        <f t="shared" si="87"/>
        <v>57.89585248748595</v>
      </c>
    </row>
    <row r="667" spans="1:10" ht="67.5" customHeight="1">
      <c r="A667" s="57" t="s">
        <v>1437</v>
      </c>
      <c r="B667" s="55" t="s">
        <v>1291</v>
      </c>
      <c r="C667" s="55" t="s">
        <v>1105</v>
      </c>
      <c r="D667" s="55" t="s">
        <v>1438</v>
      </c>
      <c r="E667" s="59"/>
      <c r="F667" s="153">
        <f aca="true" t="shared" si="88" ref="F667:H668">F668</f>
        <v>515</v>
      </c>
      <c r="G667" s="153">
        <f t="shared" si="88"/>
        <v>171</v>
      </c>
      <c r="H667" s="153">
        <f t="shared" si="88"/>
        <v>28.6</v>
      </c>
      <c r="I667" s="370">
        <f t="shared" si="86"/>
        <v>5.553398058252427</v>
      </c>
      <c r="J667" s="370">
        <f t="shared" si="87"/>
        <v>16.72514619883041</v>
      </c>
    </row>
    <row r="668" spans="1:10" ht="39" customHeight="1">
      <c r="A668" s="62" t="s">
        <v>139</v>
      </c>
      <c r="B668" s="396" t="s">
        <v>1291</v>
      </c>
      <c r="C668" s="396" t="s">
        <v>1105</v>
      </c>
      <c r="D668" s="396" t="s">
        <v>1438</v>
      </c>
      <c r="E668" s="397" t="s">
        <v>1454</v>
      </c>
      <c r="F668" s="398">
        <f t="shared" si="88"/>
        <v>515</v>
      </c>
      <c r="G668" s="398">
        <f t="shared" si="88"/>
        <v>171</v>
      </c>
      <c r="H668" s="398">
        <f t="shared" si="88"/>
        <v>28.6</v>
      </c>
      <c r="I668" s="370">
        <f t="shared" si="86"/>
        <v>5.553398058252427</v>
      </c>
      <c r="J668" s="370">
        <f t="shared" si="87"/>
        <v>16.72514619883041</v>
      </c>
    </row>
    <row r="669" spans="1:10" ht="22.5" customHeight="1">
      <c r="A669" s="234" t="s">
        <v>1355</v>
      </c>
      <c r="B669" s="396" t="s">
        <v>1291</v>
      </c>
      <c r="C669" s="396" t="s">
        <v>1105</v>
      </c>
      <c r="D669" s="396" t="s">
        <v>1438</v>
      </c>
      <c r="E669" s="397" t="s">
        <v>554</v>
      </c>
      <c r="F669" s="399">
        <v>515</v>
      </c>
      <c r="G669" s="399">
        <v>171</v>
      </c>
      <c r="H669" s="399">
        <v>28.6</v>
      </c>
      <c r="I669" s="370">
        <f t="shared" si="86"/>
        <v>5.553398058252427</v>
      </c>
      <c r="J669" s="370">
        <f t="shared" si="87"/>
        <v>16.72514619883041</v>
      </c>
    </row>
    <row r="670" spans="1:10" ht="56.25" customHeight="1">
      <c r="A670" s="395" t="s">
        <v>1439</v>
      </c>
      <c r="B670" s="396" t="s">
        <v>1291</v>
      </c>
      <c r="C670" s="396" t="s">
        <v>1105</v>
      </c>
      <c r="D670" s="53" t="s">
        <v>1440</v>
      </c>
      <c r="E670" s="329"/>
      <c r="F670" s="153">
        <f aca="true" t="shared" si="89" ref="F670:H671">F671</f>
        <v>68699.5</v>
      </c>
      <c r="G670" s="153">
        <f t="shared" si="89"/>
        <v>89685.7</v>
      </c>
      <c r="H670" s="153">
        <f t="shared" si="89"/>
        <v>89581</v>
      </c>
      <c r="I670" s="370">
        <f t="shared" si="86"/>
        <v>130.39541772501983</v>
      </c>
      <c r="J670" s="370">
        <f t="shared" si="87"/>
        <v>99.88325898108617</v>
      </c>
    </row>
    <row r="671" spans="1:10" ht="38.25" customHeight="1">
      <c r="A671" s="62" t="s">
        <v>139</v>
      </c>
      <c r="B671" s="53" t="s">
        <v>1441</v>
      </c>
      <c r="C671" s="53" t="s">
        <v>1105</v>
      </c>
      <c r="D671" s="53" t="s">
        <v>1442</v>
      </c>
      <c r="E671" s="329" t="s">
        <v>1454</v>
      </c>
      <c r="F671" s="153">
        <f t="shared" si="89"/>
        <v>68699.5</v>
      </c>
      <c r="G671" s="153">
        <f t="shared" si="89"/>
        <v>89685.7</v>
      </c>
      <c r="H671" s="153">
        <f t="shared" si="89"/>
        <v>89581</v>
      </c>
      <c r="I671" s="370">
        <f t="shared" si="86"/>
        <v>130.39541772501983</v>
      </c>
      <c r="J671" s="370">
        <f t="shared" si="87"/>
        <v>99.88325898108617</v>
      </c>
    </row>
    <row r="672" spans="1:10" ht="22.5" customHeight="1">
      <c r="A672" s="234" t="s">
        <v>1443</v>
      </c>
      <c r="B672" s="53" t="s">
        <v>1441</v>
      </c>
      <c r="C672" s="53" t="s">
        <v>1105</v>
      </c>
      <c r="D672" s="53" t="s">
        <v>1442</v>
      </c>
      <c r="E672" s="329" t="s">
        <v>554</v>
      </c>
      <c r="F672" s="153">
        <v>68699.5</v>
      </c>
      <c r="G672" s="153">
        <f>G673+G674+G676+G675</f>
        <v>89685.7</v>
      </c>
      <c r="H672" s="153">
        <f>90.2+H673+H674+H676+H675</f>
        <v>89581</v>
      </c>
      <c r="I672" s="370">
        <f t="shared" si="86"/>
        <v>130.39541772501983</v>
      </c>
      <c r="J672" s="370">
        <f t="shared" si="87"/>
        <v>99.88325898108617</v>
      </c>
    </row>
    <row r="673" spans="1:10" ht="171.75" customHeight="1">
      <c r="A673" s="395" t="s">
        <v>1444</v>
      </c>
      <c r="B673" s="53" t="s">
        <v>1441</v>
      </c>
      <c r="C673" s="53" t="s">
        <v>1105</v>
      </c>
      <c r="D673" s="53" t="s">
        <v>1442</v>
      </c>
      <c r="E673" s="329" t="s">
        <v>554</v>
      </c>
      <c r="F673" s="60">
        <v>0</v>
      </c>
      <c r="G673" s="60">
        <f>68699.5+11568.1+232.9+2500+2610+621.9+532.2+699.8+1176.1+70.2-692.5+502.9-0.1+572.8-50-260-580</f>
        <v>88203.79999999999</v>
      </c>
      <c r="H673" s="60">
        <v>88184.4</v>
      </c>
      <c r="I673" s="370"/>
      <c r="J673" s="370">
        <f t="shared" si="87"/>
        <v>99.97800548275698</v>
      </c>
    </row>
    <row r="674" spans="1:10" ht="27.75" customHeight="1">
      <c r="A674" s="395" t="s">
        <v>1445</v>
      </c>
      <c r="B674" s="53" t="s">
        <v>1441</v>
      </c>
      <c r="C674" s="53" t="s">
        <v>1105</v>
      </c>
      <c r="D674" s="53" t="s">
        <v>1442</v>
      </c>
      <c r="E674" s="329" t="s">
        <v>554</v>
      </c>
      <c r="F674" s="60">
        <v>0</v>
      </c>
      <c r="G674" s="60">
        <v>494.3</v>
      </c>
      <c r="H674" s="60">
        <v>494.3</v>
      </c>
      <c r="I674" s="370"/>
      <c r="J674" s="370">
        <f t="shared" si="87"/>
        <v>100</v>
      </c>
    </row>
    <row r="675" spans="1:10" ht="41.25" customHeight="1">
      <c r="A675" s="395" t="s">
        <v>1446</v>
      </c>
      <c r="B675" s="53" t="s">
        <v>1291</v>
      </c>
      <c r="C675" s="53" t="s">
        <v>1105</v>
      </c>
      <c r="D675" s="53" t="s">
        <v>1442</v>
      </c>
      <c r="E675" s="329" t="s">
        <v>554</v>
      </c>
      <c r="F675" s="60">
        <v>0</v>
      </c>
      <c r="G675" s="60">
        <v>487.6</v>
      </c>
      <c r="H675" s="60">
        <v>323</v>
      </c>
      <c r="I675" s="370"/>
      <c r="J675" s="370">
        <f t="shared" si="87"/>
        <v>66.24282198523379</v>
      </c>
    </row>
    <row r="676" spans="1:10" ht="50.25" customHeight="1">
      <c r="A676" s="395" t="s">
        <v>753</v>
      </c>
      <c r="B676" s="53" t="s">
        <v>1291</v>
      </c>
      <c r="C676" s="53" t="s">
        <v>1105</v>
      </c>
      <c r="D676" s="53" t="s">
        <v>1442</v>
      </c>
      <c r="E676" s="329" t="s">
        <v>554</v>
      </c>
      <c r="F676" s="60">
        <v>0</v>
      </c>
      <c r="G676" s="60">
        <v>500</v>
      </c>
      <c r="H676" s="60">
        <v>489.1</v>
      </c>
      <c r="I676" s="370"/>
      <c r="J676" s="370">
        <f t="shared" si="87"/>
        <v>97.82000000000001</v>
      </c>
    </row>
    <row r="677" spans="1:10" ht="15.75">
      <c r="A677" s="71" t="s">
        <v>796</v>
      </c>
      <c r="B677" s="55" t="s">
        <v>1291</v>
      </c>
      <c r="C677" s="55" t="s">
        <v>1106</v>
      </c>
      <c r="D677" s="55"/>
      <c r="E677" s="55"/>
      <c r="F677" s="153">
        <f>F678+F701</f>
        <v>94306.5</v>
      </c>
      <c r="G677" s="153">
        <f>G678+G701</f>
        <v>89493.1</v>
      </c>
      <c r="H677" s="153">
        <f>H678+H701</f>
        <v>76909.8</v>
      </c>
      <c r="I677" s="370">
        <f t="shared" si="86"/>
        <v>81.55302126576642</v>
      </c>
      <c r="J677" s="370">
        <f t="shared" si="87"/>
        <v>85.9393629229516</v>
      </c>
    </row>
    <row r="678" spans="1:10" ht="36">
      <c r="A678" s="72" t="s">
        <v>1430</v>
      </c>
      <c r="B678" s="55" t="s">
        <v>1291</v>
      </c>
      <c r="C678" s="55" t="s">
        <v>1106</v>
      </c>
      <c r="D678" s="55" t="s">
        <v>1431</v>
      </c>
      <c r="E678" s="55"/>
      <c r="F678" s="153">
        <f>F679+F691</f>
        <v>94306.5</v>
      </c>
      <c r="G678" s="153">
        <f>G679+G691</f>
        <v>88943.1</v>
      </c>
      <c r="H678" s="153">
        <f>H679+H691</f>
        <v>76439.6</v>
      </c>
      <c r="I678" s="370">
        <f t="shared" si="86"/>
        <v>81.05443421185178</v>
      </c>
      <c r="J678" s="370">
        <f t="shared" si="87"/>
        <v>85.94213603978274</v>
      </c>
    </row>
    <row r="679" spans="1:10" ht="24">
      <c r="A679" s="57" t="s">
        <v>754</v>
      </c>
      <c r="B679" s="55" t="s">
        <v>1291</v>
      </c>
      <c r="C679" s="55" t="s">
        <v>1106</v>
      </c>
      <c r="D679" s="55" t="s">
        <v>755</v>
      </c>
      <c r="E679" s="55"/>
      <c r="F679" s="153">
        <f>F680+F684+F688</f>
        <v>72988</v>
      </c>
      <c r="G679" s="153">
        <f>G680+G684+G688</f>
        <v>64319.5</v>
      </c>
      <c r="H679" s="153">
        <f>H680+H684+H688</f>
        <v>51881.5</v>
      </c>
      <c r="I679" s="370">
        <f t="shared" si="86"/>
        <v>71.0822326957856</v>
      </c>
      <c r="J679" s="370">
        <f t="shared" si="87"/>
        <v>80.66216310761122</v>
      </c>
    </row>
    <row r="680" spans="1:10" ht="36">
      <c r="A680" s="62" t="s">
        <v>139</v>
      </c>
      <c r="B680" s="55" t="s">
        <v>1291</v>
      </c>
      <c r="C680" s="55" t="s">
        <v>1106</v>
      </c>
      <c r="D680" s="55" t="s">
        <v>756</v>
      </c>
      <c r="E680" s="55" t="s">
        <v>1454</v>
      </c>
      <c r="F680" s="153">
        <f>F681+F683</f>
        <v>15554</v>
      </c>
      <c r="G680" s="153">
        <f>G681+G683</f>
        <v>15305.5</v>
      </c>
      <c r="H680" s="153">
        <f>H681+H683</f>
        <v>14911.7</v>
      </c>
      <c r="I680" s="370">
        <f t="shared" si="86"/>
        <v>95.87051562299087</v>
      </c>
      <c r="J680" s="370">
        <f t="shared" si="87"/>
        <v>97.42706870079384</v>
      </c>
    </row>
    <row r="681" spans="1:10" ht="24">
      <c r="A681" s="234" t="s">
        <v>512</v>
      </c>
      <c r="B681" s="55" t="s">
        <v>1291</v>
      </c>
      <c r="C681" s="55" t="s">
        <v>1106</v>
      </c>
      <c r="D681" s="55" t="s">
        <v>756</v>
      </c>
      <c r="E681" s="55" t="s">
        <v>554</v>
      </c>
      <c r="F681" s="60">
        <v>15554</v>
      </c>
      <c r="G681" s="60">
        <f>9731+600-117-45-54-1700</f>
        <v>8415</v>
      </c>
      <c r="H681" s="60">
        <f>7557.5+H682</f>
        <v>8030.6</v>
      </c>
      <c r="I681" s="370">
        <f t="shared" si="86"/>
        <v>51.63044875916163</v>
      </c>
      <c r="J681" s="370">
        <f t="shared" si="87"/>
        <v>95.43196672608438</v>
      </c>
    </row>
    <row r="682" spans="1:10" ht="36">
      <c r="A682" s="234" t="s">
        <v>757</v>
      </c>
      <c r="B682" s="55" t="s">
        <v>1291</v>
      </c>
      <c r="C682" s="55" t="s">
        <v>1106</v>
      </c>
      <c r="D682" s="55" t="s">
        <v>756</v>
      </c>
      <c r="E682" s="55" t="s">
        <v>554</v>
      </c>
      <c r="F682" s="60">
        <v>0</v>
      </c>
      <c r="G682" s="60">
        <f>600-54</f>
        <v>546</v>
      </c>
      <c r="H682" s="60">
        <v>473.1</v>
      </c>
      <c r="I682" s="370"/>
      <c r="J682" s="370">
        <f t="shared" si="87"/>
        <v>86.64835164835165</v>
      </c>
    </row>
    <row r="683" spans="1:10" ht="24">
      <c r="A683" s="57" t="s">
        <v>447</v>
      </c>
      <c r="B683" s="55" t="s">
        <v>1291</v>
      </c>
      <c r="C683" s="55" t="s">
        <v>1106</v>
      </c>
      <c r="D683" s="55" t="s">
        <v>756</v>
      </c>
      <c r="E683" s="55" t="s">
        <v>446</v>
      </c>
      <c r="F683" s="60">
        <v>0</v>
      </c>
      <c r="G683" s="60">
        <f>5823+117+950.5</f>
        <v>6890.5</v>
      </c>
      <c r="H683" s="60">
        <v>6881.1</v>
      </c>
      <c r="I683" s="370"/>
      <c r="J683" s="370">
        <f t="shared" si="87"/>
        <v>99.86358029170597</v>
      </c>
    </row>
    <row r="684" spans="1:10" ht="24">
      <c r="A684" s="57" t="s">
        <v>1435</v>
      </c>
      <c r="B684" s="55" t="s">
        <v>1291</v>
      </c>
      <c r="C684" s="55" t="s">
        <v>1106</v>
      </c>
      <c r="D684" s="55" t="s">
        <v>758</v>
      </c>
      <c r="E684" s="55" t="s">
        <v>920</v>
      </c>
      <c r="F684" s="153">
        <f>F685</f>
        <v>33349</v>
      </c>
      <c r="G684" s="153">
        <f>G685</f>
        <v>24364</v>
      </c>
      <c r="H684" s="153">
        <f>H685</f>
        <v>14138.8</v>
      </c>
      <c r="I684" s="370">
        <f t="shared" si="86"/>
        <v>42.39647365738103</v>
      </c>
      <c r="J684" s="370">
        <f t="shared" si="87"/>
        <v>58.03152191758332</v>
      </c>
    </row>
    <row r="685" spans="1:10" ht="36">
      <c r="A685" s="62" t="s">
        <v>139</v>
      </c>
      <c r="B685" s="55" t="s">
        <v>1291</v>
      </c>
      <c r="C685" s="55" t="s">
        <v>1106</v>
      </c>
      <c r="D685" s="55" t="s">
        <v>758</v>
      </c>
      <c r="E685" s="55" t="s">
        <v>1454</v>
      </c>
      <c r="F685" s="153">
        <f>F686+F687</f>
        <v>33349</v>
      </c>
      <c r="G685" s="153">
        <f>G686+G687</f>
        <v>24364</v>
      </c>
      <c r="H685" s="153">
        <f>H686+H687</f>
        <v>14138.8</v>
      </c>
      <c r="I685" s="370">
        <f t="shared" si="86"/>
        <v>42.39647365738103</v>
      </c>
      <c r="J685" s="370">
        <f t="shared" si="87"/>
        <v>58.03152191758332</v>
      </c>
    </row>
    <row r="686" spans="1:10" ht="24">
      <c r="A686" s="57" t="s">
        <v>1355</v>
      </c>
      <c r="B686" s="55" t="s">
        <v>1291</v>
      </c>
      <c r="C686" s="55" t="s">
        <v>1106</v>
      </c>
      <c r="D686" s="55" t="s">
        <v>758</v>
      </c>
      <c r="E686" s="55" t="s">
        <v>554</v>
      </c>
      <c r="F686" s="60">
        <v>33349</v>
      </c>
      <c r="G686" s="60">
        <f>32449-1159+891-7717-1000-200+200</f>
        <v>23464</v>
      </c>
      <c r="H686" s="60">
        <v>13283.9</v>
      </c>
      <c r="I686" s="370">
        <f t="shared" si="86"/>
        <v>39.83297850010495</v>
      </c>
      <c r="J686" s="370">
        <f t="shared" si="87"/>
        <v>56.61396181384249</v>
      </c>
    </row>
    <row r="687" spans="1:10" ht="24">
      <c r="A687" s="57" t="s">
        <v>447</v>
      </c>
      <c r="B687" s="55" t="s">
        <v>1291</v>
      </c>
      <c r="C687" s="55" t="s">
        <v>1106</v>
      </c>
      <c r="D687" s="55" t="s">
        <v>758</v>
      </c>
      <c r="E687" s="55" t="s">
        <v>446</v>
      </c>
      <c r="F687" s="60">
        <v>0</v>
      </c>
      <c r="G687" s="60">
        <v>900</v>
      </c>
      <c r="H687" s="60">
        <v>854.9</v>
      </c>
      <c r="I687" s="370"/>
      <c r="J687" s="370">
        <f t="shared" si="87"/>
        <v>94.9888888888889</v>
      </c>
    </row>
    <row r="688" spans="1:10" ht="60">
      <c r="A688" s="57" t="s">
        <v>1437</v>
      </c>
      <c r="B688" s="55" t="s">
        <v>1291</v>
      </c>
      <c r="C688" s="55" t="s">
        <v>1106</v>
      </c>
      <c r="D688" s="55" t="s">
        <v>759</v>
      </c>
      <c r="E688" s="55" t="s">
        <v>920</v>
      </c>
      <c r="F688" s="153">
        <f aca="true" t="shared" si="90" ref="F688:H689">F689</f>
        <v>24085</v>
      </c>
      <c r="G688" s="153">
        <f t="shared" si="90"/>
        <v>24650</v>
      </c>
      <c r="H688" s="153">
        <f t="shared" si="90"/>
        <v>22831</v>
      </c>
      <c r="I688" s="370">
        <f t="shared" si="86"/>
        <v>94.79343990035292</v>
      </c>
      <c r="J688" s="370">
        <f t="shared" si="87"/>
        <v>92.62068965517241</v>
      </c>
    </row>
    <row r="689" spans="1:10" ht="36">
      <c r="A689" s="62" t="s">
        <v>139</v>
      </c>
      <c r="B689" s="55" t="s">
        <v>1291</v>
      </c>
      <c r="C689" s="55" t="s">
        <v>1106</v>
      </c>
      <c r="D689" s="55" t="s">
        <v>759</v>
      </c>
      <c r="E689" s="55" t="s">
        <v>1454</v>
      </c>
      <c r="F689" s="153">
        <f t="shared" si="90"/>
        <v>24085</v>
      </c>
      <c r="G689" s="153">
        <f t="shared" si="90"/>
        <v>24650</v>
      </c>
      <c r="H689" s="153">
        <f t="shared" si="90"/>
        <v>22831</v>
      </c>
      <c r="I689" s="370">
        <f t="shared" si="86"/>
        <v>94.79343990035292</v>
      </c>
      <c r="J689" s="370">
        <f t="shared" si="87"/>
        <v>92.62068965517241</v>
      </c>
    </row>
    <row r="690" spans="1:10" ht="24">
      <c r="A690" s="234" t="s">
        <v>1355</v>
      </c>
      <c r="B690" s="55" t="s">
        <v>1291</v>
      </c>
      <c r="C690" s="55" t="s">
        <v>1106</v>
      </c>
      <c r="D690" s="55" t="s">
        <v>759</v>
      </c>
      <c r="E690" s="55" t="s">
        <v>554</v>
      </c>
      <c r="F690" s="60">
        <v>24085</v>
      </c>
      <c r="G690" s="60">
        <v>24650</v>
      </c>
      <c r="H690" s="60">
        <v>22831</v>
      </c>
      <c r="I690" s="370">
        <f t="shared" si="86"/>
        <v>94.79343990035292</v>
      </c>
      <c r="J690" s="370">
        <f t="shared" si="87"/>
        <v>92.62068965517241</v>
      </c>
    </row>
    <row r="691" spans="1:10" ht="36">
      <c r="A691" s="57" t="s">
        <v>1439</v>
      </c>
      <c r="B691" s="55" t="s">
        <v>1291</v>
      </c>
      <c r="C691" s="55" t="s">
        <v>1106</v>
      </c>
      <c r="D691" s="55" t="s">
        <v>1440</v>
      </c>
      <c r="E691" s="55"/>
      <c r="F691" s="153">
        <f>F692</f>
        <v>21318.5</v>
      </c>
      <c r="G691" s="153">
        <f>G692</f>
        <v>24623.600000000002</v>
      </c>
      <c r="H691" s="153">
        <f>H692</f>
        <v>24558.100000000002</v>
      </c>
      <c r="I691" s="370">
        <f t="shared" si="86"/>
        <v>115.19619110162536</v>
      </c>
      <c r="J691" s="370">
        <f t="shared" si="87"/>
        <v>99.73399502915902</v>
      </c>
    </row>
    <row r="692" spans="1:10" ht="36">
      <c r="A692" s="62" t="s">
        <v>139</v>
      </c>
      <c r="B692" s="55" t="s">
        <v>1291</v>
      </c>
      <c r="C692" s="55" t="s">
        <v>1106</v>
      </c>
      <c r="D692" s="55" t="s">
        <v>1442</v>
      </c>
      <c r="E692" s="55" t="s">
        <v>1454</v>
      </c>
      <c r="F692" s="153">
        <f>F693+F699</f>
        <v>21318.5</v>
      </c>
      <c r="G692" s="153">
        <f>G693+G699</f>
        <v>24623.600000000002</v>
      </c>
      <c r="H692" s="153">
        <f>H693+H699</f>
        <v>24558.100000000002</v>
      </c>
      <c r="I692" s="370">
        <f t="shared" si="86"/>
        <v>115.19619110162536</v>
      </c>
      <c r="J692" s="370">
        <f t="shared" si="87"/>
        <v>99.73399502915902</v>
      </c>
    </row>
    <row r="693" spans="1:10" ht="24">
      <c r="A693" s="57" t="s">
        <v>512</v>
      </c>
      <c r="B693" s="55" t="s">
        <v>1291</v>
      </c>
      <c r="C693" s="55" t="s">
        <v>1106</v>
      </c>
      <c r="D693" s="55" t="s">
        <v>1442</v>
      </c>
      <c r="E693" s="55" t="s">
        <v>554</v>
      </c>
      <c r="F693" s="153">
        <v>21318.5</v>
      </c>
      <c r="G693" s="153">
        <f>G694+G695+G696+G697+G698</f>
        <v>24434.800000000003</v>
      </c>
      <c r="H693" s="153">
        <f>H694+H695+H696+H697+H698</f>
        <v>24371.800000000003</v>
      </c>
      <c r="I693" s="370">
        <f t="shared" si="86"/>
        <v>114.32230222576636</v>
      </c>
      <c r="J693" s="370">
        <f t="shared" si="87"/>
        <v>99.74217100201352</v>
      </c>
    </row>
    <row r="694" spans="1:10" ht="156">
      <c r="A694" s="395" t="s">
        <v>0</v>
      </c>
      <c r="B694" s="55" t="s">
        <v>1291</v>
      </c>
      <c r="C694" s="55" t="s">
        <v>1106</v>
      </c>
      <c r="D694" s="55" t="s">
        <v>1442</v>
      </c>
      <c r="E694" s="55" t="s">
        <v>554</v>
      </c>
      <c r="F694" s="60">
        <v>0</v>
      </c>
      <c r="G694" s="60">
        <f>21318.5+305.9+4580.8+2141.1+111.3-1265.4-699.8-1364.8+118.5+0.2+50-30-1100-0.1</f>
        <v>24166.2</v>
      </c>
      <c r="H694" s="60">
        <f>21318.5+305.9+4580.8+2141.1+111.3-1265.4-699.8-1364.8+118.5+0.2+50-30-1100-63.1</f>
        <v>24103.2</v>
      </c>
      <c r="I694" s="370"/>
      <c r="J694" s="370">
        <f t="shared" si="87"/>
        <v>99.73930531072324</v>
      </c>
    </row>
    <row r="695" spans="1:10" ht="24">
      <c r="A695" s="395" t="s">
        <v>1</v>
      </c>
      <c r="B695" s="55" t="s">
        <v>1291</v>
      </c>
      <c r="C695" s="55" t="s">
        <v>1106</v>
      </c>
      <c r="D695" s="55" t="s">
        <v>1442</v>
      </c>
      <c r="E695" s="55" t="s">
        <v>554</v>
      </c>
      <c r="F695" s="60">
        <v>0</v>
      </c>
      <c r="G695" s="60">
        <v>54</v>
      </c>
      <c r="H695" s="60">
        <v>54</v>
      </c>
      <c r="I695" s="370"/>
      <c r="J695" s="370">
        <f t="shared" si="87"/>
        <v>100</v>
      </c>
    </row>
    <row r="696" spans="1:10" ht="36">
      <c r="A696" s="395" t="s">
        <v>2</v>
      </c>
      <c r="B696" s="55" t="s">
        <v>1291</v>
      </c>
      <c r="C696" s="55" t="s">
        <v>1106</v>
      </c>
      <c r="D696" s="55" t="s">
        <v>1442</v>
      </c>
      <c r="E696" s="55" t="s">
        <v>554</v>
      </c>
      <c r="F696" s="60">
        <v>0</v>
      </c>
      <c r="G696" s="60">
        <v>90.9</v>
      </c>
      <c r="H696" s="60">
        <v>90.9</v>
      </c>
      <c r="I696" s="370"/>
      <c r="J696" s="370">
        <f t="shared" si="87"/>
        <v>100</v>
      </c>
    </row>
    <row r="697" spans="1:10" ht="36">
      <c r="A697" s="395" t="s">
        <v>3</v>
      </c>
      <c r="B697" s="55" t="s">
        <v>1291</v>
      </c>
      <c r="C697" s="55" t="s">
        <v>1106</v>
      </c>
      <c r="D697" s="55" t="s">
        <v>1442</v>
      </c>
      <c r="E697" s="55" t="s">
        <v>554</v>
      </c>
      <c r="F697" s="60">
        <v>0</v>
      </c>
      <c r="G697" s="60">
        <v>98.7</v>
      </c>
      <c r="H697" s="60">
        <v>98.7</v>
      </c>
      <c r="I697" s="370"/>
      <c r="J697" s="370">
        <f t="shared" si="87"/>
        <v>100</v>
      </c>
    </row>
    <row r="698" spans="1:10" ht="24">
      <c r="A698" s="395" t="s">
        <v>1268</v>
      </c>
      <c r="B698" s="55" t="s">
        <v>1291</v>
      </c>
      <c r="C698" s="55" t="s">
        <v>1106</v>
      </c>
      <c r="D698" s="55" t="s">
        <v>1442</v>
      </c>
      <c r="E698" s="55" t="s">
        <v>554</v>
      </c>
      <c r="F698" s="60">
        <v>0</v>
      </c>
      <c r="G698" s="60">
        <v>25</v>
      </c>
      <c r="H698" s="60">
        <v>25</v>
      </c>
      <c r="I698" s="370"/>
      <c r="J698" s="370">
        <f t="shared" si="87"/>
        <v>100</v>
      </c>
    </row>
    <row r="699" spans="1:10" ht="24">
      <c r="A699" s="395" t="s">
        <v>1237</v>
      </c>
      <c r="B699" s="55" t="s">
        <v>1291</v>
      </c>
      <c r="C699" s="55" t="s">
        <v>1106</v>
      </c>
      <c r="D699" s="55" t="s">
        <v>1442</v>
      </c>
      <c r="E699" s="55" t="s">
        <v>446</v>
      </c>
      <c r="F699" s="60">
        <f>F700</f>
        <v>0</v>
      </c>
      <c r="G699" s="60">
        <f>G700</f>
        <v>188.8</v>
      </c>
      <c r="H699" s="60">
        <f>H700</f>
        <v>186.3</v>
      </c>
      <c r="I699" s="370"/>
      <c r="J699" s="370">
        <f t="shared" si="87"/>
        <v>98.67584745762711</v>
      </c>
    </row>
    <row r="700" spans="1:10" ht="24">
      <c r="A700" s="395" t="s">
        <v>1268</v>
      </c>
      <c r="B700" s="55" t="s">
        <v>1291</v>
      </c>
      <c r="C700" s="55" t="s">
        <v>1106</v>
      </c>
      <c r="D700" s="55" t="s">
        <v>1442</v>
      </c>
      <c r="E700" s="55" t="s">
        <v>446</v>
      </c>
      <c r="F700" s="60">
        <v>0</v>
      </c>
      <c r="G700" s="60">
        <v>188.8</v>
      </c>
      <c r="H700" s="60">
        <v>186.3</v>
      </c>
      <c r="I700" s="370"/>
      <c r="J700" s="370">
        <f t="shared" si="87"/>
        <v>98.67584745762711</v>
      </c>
    </row>
    <row r="701" spans="1:10" ht="61.5" customHeight="1">
      <c r="A701" s="395" t="s">
        <v>1054</v>
      </c>
      <c r="B701" s="55" t="s">
        <v>1291</v>
      </c>
      <c r="C701" s="55" t="s">
        <v>1106</v>
      </c>
      <c r="D701" s="55" t="s">
        <v>1055</v>
      </c>
      <c r="E701" s="55"/>
      <c r="F701" s="153">
        <f aca="true" t="shared" si="91" ref="F701:H702">F702</f>
        <v>0</v>
      </c>
      <c r="G701" s="153">
        <f t="shared" si="91"/>
        <v>550</v>
      </c>
      <c r="H701" s="153">
        <f t="shared" si="91"/>
        <v>470.2</v>
      </c>
      <c r="I701" s="370"/>
      <c r="J701" s="370">
        <f t="shared" si="87"/>
        <v>85.49090909090908</v>
      </c>
    </row>
    <row r="702" spans="1:10" ht="36">
      <c r="A702" s="62" t="s">
        <v>139</v>
      </c>
      <c r="B702" s="55" t="s">
        <v>1291</v>
      </c>
      <c r="C702" s="55" t="s">
        <v>1106</v>
      </c>
      <c r="D702" s="55" t="s">
        <v>1055</v>
      </c>
      <c r="E702" s="55" t="s">
        <v>1454</v>
      </c>
      <c r="F702" s="153">
        <f t="shared" si="91"/>
        <v>0</v>
      </c>
      <c r="G702" s="153">
        <f t="shared" si="91"/>
        <v>550</v>
      </c>
      <c r="H702" s="153">
        <f t="shared" si="91"/>
        <v>470.2</v>
      </c>
      <c r="I702" s="370"/>
      <c r="J702" s="370">
        <f t="shared" si="87"/>
        <v>85.49090909090908</v>
      </c>
    </row>
    <row r="703" spans="1:10" ht="24">
      <c r="A703" s="57" t="s">
        <v>1355</v>
      </c>
      <c r="B703" s="55" t="s">
        <v>1291</v>
      </c>
      <c r="C703" s="55" t="s">
        <v>1106</v>
      </c>
      <c r="D703" s="55" t="s">
        <v>1055</v>
      </c>
      <c r="E703" s="55" t="s">
        <v>554</v>
      </c>
      <c r="F703" s="60">
        <v>0</v>
      </c>
      <c r="G703" s="60">
        <v>550</v>
      </c>
      <c r="H703" s="60">
        <v>470.2</v>
      </c>
      <c r="I703" s="370"/>
      <c r="J703" s="370">
        <f t="shared" si="87"/>
        <v>85.49090909090908</v>
      </c>
    </row>
    <row r="704" spans="1:10" ht="24">
      <c r="A704" s="71" t="s">
        <v>797</v>
      </c>
      <c r="B704" s="55" t="s">
        <v>1291</v>
      </c>
      <c r="C704" s="55" t="s">
        <v>530</v>
      </c>
      <c r="D704" s="55"/>
      <c r="E704" s="55"/>
      <c r="F704" s="153">
        <f aca="true" t="shared" si="92" ref="F704:H707">F705</f>
        <v>28</v>
      </c>
      <c r="G704" s="153">
        <f t="shared" si="92"/>
        <v>73</v>
      </c>
      <c r="H704" s="153">
        <f t="shared" si="92"/>
        <v>73</v>
      </c>
      <c r="I704" s="370">
        <f t="shared" si="86"/>
        <v>260.7142857142857</v>
      </c>
      <c r="J704" s="370">
        <f t="shared" si="87"/>
        <v>100</v>
      </c>
    </row>
    <row r="705" spans="1:10" ht="36">
      <c r="A705" s="56" t="s">
        <v>1430</v>
      </c>
      <c r="B705" s="53" t="s">
        <v>1291</v>
      </c>
      <c r="C705" s="53" t="s">
        <v>530</v>
      </c>
      <c r="D705" s="53" t="s">
        <v>1431</v>
      </c>
      <c r="E705" s="53"/>
      <c r="F705" s="153">
        <f t="shared" si="92"/>
        <v>28</v>
      </c>
      <c r="G705" s="153">
        <f t="shared" si="92"/>
        <v>73</v>
      </c>
      <c r="H705" s="153">
        <f t="shared" si="92"/>
        <v>73</v>
      </c>
      <c r="I705" s="370">
        <f t="shared" si="86"/>
        <v>260.7142857142857</v>
      </c>
      <c r="J705" s="370">
        <f t="shared" si="87"/>
        <v>100</v>
      </c>
    </row>
    <row r="706" spans="1:10" ht="24">
      <c r="A706" s="62" t="s">
        <v>754</v>
      </c>
      <c r="B706" s="53" t="s">
        <v>1291</v>
      </c>
      <c r="C706" s="53" t="s">
        <v>530</v>
      </c>
      <c r="D706" s="53" t="s">
        <v>755</v>
      </c>
      <c r="E706" s="53"/>
      <c r="F706" s="153">
        <f t="shared" si="92"/>
        <v>28</v>
      </c>
      <c r="G706" s="153">
        <f t="shared" si="92"/>
        <v>73</v>
      </c>
      <c r="H706" s="153">
        <f t="shared" si="92"/>
        <v>73</v>
      </c>
      <c r="I706" s="370">
        <f t="shared" si="86"/>
        <v>260.7142857142857</v>
      </c>
      <c r="J706" s="370">
        <f t="shared" si="87"/>
        <v>100</v>
      </c>
    </row>
    <row r="707" spans="1:10" ht="36">
      <c r="A707" s="62" t="s">
        <v>139</v>
      </c>
      <c r="B707" s="55" t="s">
        <v>1291</v>
      </c>
      <c r="C707" s="55" t="s">
        <v>530</v>
      </c>
      <c r="D707" s="53" t="s">
        <v>4</v>
      </c>
      <c r="E707" s="53" t="s">
        <v>1454</v>
      </c>
      <c r="F707" s="153">
        <f t="shared" si="92"/>
        <v>28</v>
      </c>
      <c r="G707" s="153">
        <f t="shared" si="92"/>
        <v>73</v>
      </c>
      <c r="H707" s="153">
        <f t="shared" si="92"/>
        <v>73</v>
      </c>
      <c r="I707" s="370">
        <f t="shared" si="86"/>
        <v>260.7142857142857</v>
      </c>
      <c r="J707" s="370">
        <f t="shared" si="87"/>
        <v>100</v>
      </c>
    </row>
    <row r="708" spans="1:10" ht="24">
      <c r="A708" s="57" t="s">
        <v>1131</v>
      </c>
      <c r="B708" s="55" t="s">
        <v>1291</v>
      </c>
      <c r="C708" s="55" t="s">
        <v>530</v>
      </c>
      <c r="D708" s="53" t="s">
        <v>4</v>
      </c>
      <c r="E708" s="55" t="s">
        <v>554</v>
      </c>
      <c r="F708" s="60">
        <v>28</v>
      </c>
      <c r="G708" s="60">
        <f>35-7+45</f>
        <v>73</v>
      </c>
      <c r="H708" s="60">
        <f>35-7+45</f>
        <v>73</v>
      </c>
      <c r="I708" s="370">
        <f t="shared" si="86"/>
        <v>260.7142857142857</v>
      </c>
      <c r="J708" s="370">
        <f t="shared" si="87"/>
        <v>100</v>
      </c>
    </row>
    <row r="709" spans="1:10" ht="15.75">
      <c r="A709" s="71" t="s">
        <v>798</v>
      </c>
      <c r="B709" s="55" t="s">
        <v>1291</v>
      </c>
      <c r="C709" s="55" t="s">
        <v>1151</v>
      </c>
      <c r="D709" s="55"/>
      <c r="E709" s="55"/>
      <c r="F709" s="153">
        <f>F710</f>
        <v>370</v>
      </c>
      <c r="G709" s="153">
        <f>G710</f>
        <v>5115.900000000001</v>
      </c>
      <c r="H709" s="153">
        <f>H710</f>
        <v>5094.5</v>
      </c>
      <c r="I709" s="370">
        <f t="shared" si="86"/>
        <v>1376.8918918918919</v>
      </c>
      <c r="J709" s="370">
        <f t="shared" si="87"/>
        <v>99.58169628022439</v>
      </c>
    </row>
    <row r="710" spans="1:10" ht="36">
      <c r="A710" s="56" t="s">
        <v>1430</v>
      </c>
      <c r="B710" s="55" t="s">
        <v>1291</v>
      </c>
      <c r="C710" s="55" t="s">
        <v>1151</v>
      </c>
      <c r="D710" s="55" t="s">
        <v>1431</v>
      </c>
      <c r="E710" s="55"/>
      <c r="F710" s="153">
        <f>F711+F714</f>
        <v>370</v>
      </c>
      <c r="G710" s="153">
        <f>G711+G714</f>
        <v>5115.900000000001</v>
      </c>
      <c r="H710" s="153">
        <f>H711+H714</f>
        <v>5094.5</v>
      </c>
      <c r="I710" s="370">
        <f t="shared" si="86"/>
        <v>1376.8918918918919</v>
      </c>
      <c r="J710" s="370">
        <f t="shared" si="87"/>
        <v>99.58169628022439</v>
      </c>
    </row>
    <row r="711" spans="1:10" ht="60">
      <c r="A711" s="62" t="s">
        <v>1432</v>
      </c>
      <c r="B711" s="55" t="s">
        <v>1291</v>
      </c>
      <c r="C711" s="55" t="s">
        <v>1151</v>
      </c>
      <c r="D711" s="55" t="s">
        <v>1433</v>
      </c>
      <c r="E711" s="55"/>
      <c r="F711" s="153">
        <f aca="true" t="shared" si="93" ref="F711:H712">F712</f>
        <v>370</v>
      </c>
      <c r="G711" s="153">
        <f t="shared" si="93"/>
        <v>5027.1</v>
      </c>
      <c r="H711" s="153">
        <f t="shared" si="93"/>
        <v>5006.6</v>
      </c>
      <c r="I711" s="370">
        <f t="shared" si="86"/>
        <v>1353.1351351351352</v>
      </c>
      <c r="J711" s="370">
        <f t="shared" si="87"/>
        <v>99.59221022060433</v>
      </c>
    </row>
    <row r="712" spans="1:10" ht="36">
      <c r="A712" s="62" t="s">
        <v>139</v>
      </c>
      <c r="B712" s="55" t="s">
        <v>1291</v>
      </c>
      <c r="C712" s="55" t="s">
        <v>1151</v>
      </c>
      <c r="D712" s="55" t="s">
        <v>5</v>
      </c>
      <c r="E712" s="55" t="s">
        <v>1454</v>
      </c>
      <c r="F712" s="153">
        <f t="shared" si="93"/>
        <v>370</v>
      </c>
      <c r="G712" s="153">
        <f t="shared" si="93"/>
        <v>5027.1</v>
      </c>
      <c r="H712" s="153">
        <f t="shared" si="93"/>
        <v>5006.6</v>
      </c>
      <c r="I712" s="370">
        <f t="shared" si="86"/>
        <v>1353.1351351351352</v>
      </c>
      <c r="J712" s="370">
        <f t="shared" si="87"/>
        <v>99.59221022060433</v>
      </c>
    </row>
    <row r="713" spans="1:10" ht="24">
      <c r="A713" s="57" t="s">
        <v>1355</v>
      </c>
      <c r="B713" s="55" t="s">
        <v>1291</v>
      </c>
      <c r="C713" s="55" t="s">
        <v>1151</v>
      </c>
      <c r="D713" s="55" t="s">
        <v>5</v>
      </c>
      <c r="E713" s="55" t="s">
        <v>554</v>
      </c>
      <c r="F713" s="60">
        <v>370</v>
      </c>
      <c r="G713" s="60">
        <f>471-101+797.1+3860</f>
        <v>5027.1</v>
      </c>
      <c r="H713" s="60">
        <v>5006.6</v>
      </c>
      <c r="I713" s="370">
        <f t="shared" si="86"/>
        <v>1353.1351351351352</v>
      </c>
      <c r="J713" s="370">
        <f t="shared" si="87"/>
        <v>99.59221022060433</v>
      </c>
    </row>
    <row r="714" spans="1:10" ht="36">
      <c r="A714" s="57" t="s">
        <v>1439</v>
      </c>
      <c r="B714" s="55" t="s">
        <v>1291</v>
      </c>
      <c r="C714" s="55" t="s">
        <v>1151</v>
      </c>
      <c r="D714" s="55" t="s">
        <v>1440</v>
      </c>
      <c r="E714" s="55"/>
      <c r="F714" s="153">
        <f aca="true" t="shared" si="94" ref="F714:H716">F715</f>
        <v>0</v>
      </c>
      <c r="G714" s="153">
        <f t="shared" si="94"/>
        <v>88.8</v>
      </c>
      <c r="H714" s="153">
        <f t="shared" si="94"/>
        <v>87.9</v>
      </c>
      <c r="I714" s="370"/>
      <c r="J714" s="370">
        <f t="shared" si="87"/>
        <v>98.98648648648648</v>
      </c>
    </row>
    <row r="715" spans="1:10" ht="36">
      <c r="A715" s="62" t="s">
        <v>139</v>
      </c>
      <c r="B715" s="55" t="s">
        <v>1291</v>
      </c>
      <c r="C715" s="55" t="s">
        <v>1151</v>
      </c>
      <c r="D715" s="55" t="s">
        <v>1442</v>
      </c>
      <c r="E715" s="55" t="s">
        <v>1454</v>
      </c>
      <c r="F715" s="153">
        <f t="shared" si="94"/>
        <v>0</v>
      </c>
      <c r="G715" s="153">
        <f t="shared" si="94"/>
        <v>88.8</v>
      </c>
      <c r="H715" s="153">
        <f t="shared" si="94"/>
        <v>87.9</v>
      </c>
      <c r="I715" s="370"/>
      <c r="J715" s="370">
        <f t="shared" si="87"/>
        <v>98.98648648648648</v>
      </c>
    </row>
    <row r="716" spans="1:10" ht="24">
      <c r="A716" s="57" t="s">
        <v>512</v>
      </c>
      <c r="B716" s="55" t="s">
        <v>1291</v>
      </c>
      <c r="C716" s="55" t="s">
        <v>1151</v>
      </c>
      <c r="D716" s="55" t="s">
        <v>1442</v>
      </c>
      <c r="E716" s="55" t="s">
        <v>554</v>
      </c>
      <c r="F716" s="153">
        <f t="shared" si="94"/>
        <v>0</v>
      </c>
      <c r="G716" s="153">
        <f t="shared" si="94"/>
        <v>88.8</v>
      </c>
      <c r="H716" s="153">
        <f t="shared" si="94"/>
        <v>87.9</v>
      </c>
      <c r="I716" s="370"/>
      <c r="J716" s="370">
        <f t="shared" si="87"/>
        <v>98.98648648648648</v>
      </c>
    </row>
    <row r="717" spans="1:10" ht="60">
      <c r="A717" s="395" t="s">
        <v>6</v>
      </c>
      <c r="B717" s="55" t="s">
        <v>1291</v>
      </c>
      <c r="C717" s="55" t="s">
        <v>1151</v>
      </c>
      <c r="D717" s="55" t="s">
        <v>1442</v>
      </c>
      <c r="E717" s="55" t="s">
        <v>554</v>
      </c>
      <c r="F717" s="60">
        <v>0</v>
      </c>
      <c r="G717" s="60">
        <v>88.8</v>
      </c>
      <c r="H717" s="60">
        <v>87.9</v>
      </c>
      <c r="I717" s="370"/>
      <c r="J717" s="370">
        <f t="shared" si="87"/>
        <v>98.98648648648648</v>
      </c>
    </row>
    <row r="718" spans="1:10" ht="36">
      <c r="A718" s="71" t="s">
        <v>799</v>
      </c>
      <c r="B718" s="55" t="s">
        <v>1291</v>
      </c>
      <c r="C718" s="55" t="s">
        <v>417</v>
      </c>
      <c r="D718" s="55"/>
      <c r="E718" s="55"/>
      <c r="F718" s="153">
        <f aca="true" t="shared" si="95" ref="F718:H719">F719</f>
        <v>9247</v>
      </c>
      <c r="G718" s="153">
        <f t="shared" si="95"/>
        <v>11813</v>
      </c>
      <c r="H718" s="153">
        <f t="shared" si="95"/>
        <v>5120</v>
      </c>
      <c r="I718" s="370">
        <f aca="true" t="shared" si="96" ref="I718:I771">H718/F718*100</f>
        <v>55.36930896506975</v>
      </c>
      <c r="J718" s="370">
        <f aca="true" t="shared" si="97" ref="J718:J771">H718/G718*100</f>
        <v>43.34208075848641</v>
      </c>
    </row>
    <row r="719" spans="1:10" ht="36">
      <c r="A719" s="56" t="s">
        <v>1430</v>
      </c>
      <c r="B719" s="55" t="s">
        <v>1291</v>
      </c>
      <c r="C719" s="55" t="s">
        <v>417</v>
      </c>
      <c r="D719" s="55" t="s">
        <v>1431</v>
      </c>
      <c r="E719" s="55"/>
      <c r="F719" s="153">
        <f t="shared" si="95"/>
        <v>9247</v>
      </c>
      <c r="G719" s="153">
        <f t="shared" si="95"/>
        <v>11813</v>
      </c>
      <c r="H719" s="153">
        <f t="shared" si="95"/>
        <v>5120</v>
      </c>
      <c r="I719" s="370">
        <f t="shared" si="96"/>
        <v>55.36930896506975</v>
      </c>
      <c r="J719" s="370">
        <f t="shared" si="97"/>
        <v>43.34208075848641</v>
      </c>
    </row>
    <row r="720" spans="1:10" ht="60">
      <c r="A720" s="62" t="s">
        <v>1432</v>
      </c>
      <c r="B720" s="55" t="s">
        <v>1291</v>
      </c>
      <c r="C720" s="55" t="s">
        <v>417</v>
      </c>
      <c r="D720" s="55" t="s">
        <v>1433</v>
      </c>
      <c r="E720" s="55"/>
      <c r="F720" s="153">
        <f>F721+F723</f>
        <v>9247</v>
      </c>
      <c r="G720" s="153">
        <f>G721+G723</f>
        <v>11813</v>
      </c>
      <c r="H720" s="153">
        <f>H721+H723</f>
        <v>5120</v>
      </c>
      <c r="I720" s="370">
        <f t="shared" si="96"/>
        <v>55.36930896506975</v>
      </c>
      <c r="J720" s="370">
        <f t="shared" si="97"/>
        <v>43.34208075848641</v>
      </c>
    </row>
    <row r="721" spans="1:10" ht="36">
      <c r="A721" s="62" t="s">
        <v>139</v>
      </c>
      <c r="B721" s="55" t="s">
        <v>1291</v>
      </c>
      <c r="C721" s="55" t="s">
        <v>417</v>
      </c>
      <c r="D721" s="55" t="s">
        <v>7</v>
      </c>
      <c r="E721" s="55" t="s">
        <v>1454</v>
      </c>
      <c r="F721" s="153">
        <f>F722</f>
        <v>13</v>
      </c>
      <c r="G721" s="153">
        <f>G722</f>
        <v>13</v>
      </c>
      <c r="H721" s="153">
        <f>H722</f>
        <v>10.9</v>
      </c>
      <c r="I721" s="370">
        <f t="shared" si="96"/>
        <v>83.84615384615385</v>
      </c>
      <c r="J721" s="370">
        <f t="shared" si="97"/>
        <v>83.84615384615385</v>
      </c>
    </row>
    <row r="722" spans="1:10" ht="24">
      <c r="A722" s="57" t="s">
        <v>1355</v>
      </c>
      <c r="B722" s="55" t="s">
        <v>1291</v>
      </c>
      <c r="C722" s="55" t="s">
        <v>417</v>
      </c>
      <c r="D722" s="55" t="s">
        <v>7</v>
      </c>
      <c r="E722" s="55" t="s">
        <v>554</v>
      </c>
      <c r="F722" s="60">
        <f>16-3</f>
        <v>13</v>
      </c>
      <c r="G722" s="60">
        <f>16-3</f>
        <v>13</v>
      </c>
      <c r="H722" s="60">
        <v>10.9</v>
      </c>
      <c r="I722" s="370">
        <f t="shared" si="96"/>
        <v>83.84615384615385</v>
      </c>
      <c r="J722" s="370">
        <f t="shared" si="97"/>
        <v>83.84615384615385</v>
      </c>
    </row>
    <row r="723" spans="1:10" ht="24">
      <c r="A723" s="62" t="s">
        <v>1435</v>
      </c>
      <c r="B723" s="55" t="s">
        <v>1291</v>
      </c>
      <c r="C723" s="55" t="s">
        <v>417</v>
      </c>
      <c r="D723" s="55" t="s">
        <v>1436</v>
      </c>
      <c r="E723" s="55" t="s">
        <v>920</v>
      </c>
      <c r="F723" s="153">
        <f aca="true" t="shared" si="98" ref="F723:H724">F724</f>
        <v>9234</v>
      </c>
      <c r="G723" s="153">
        <f t="shared" si="98"/>
        <v>11800</v>
      </c>
      <c r="H723" s="153">
        <f t="shared" si="98"/>
        <v>5109.1</v>
      </c>
      <c r="I723" s="370">
        <f t="shared" si="96"/>
        <v>55.329218106995896</v>
      </c>
      <c r="J723" s="370">
        <f t="shared" si="97"/>
        <v>43.297457627118646</v>
      </c>
    </row>
    <row r="724" spans="1:10" ht="36">
      <c r="A724" s="62" t="s">
        <v>139</v>
      </c>
      <c r="B724" s="55" t="s">
        <v>1291</v>
      </c>
      <c r="C724" s="55" t="s">
        <v>417</v>
      </c>
      <c r="D724" s="55" t="s">
        <v>1436</v>
      </c>
      <c r="E724" s="55" t="s">
        <v>1454</v>
      </c>
      <c r="F724" s="153">
        <f t="shared" si="98"/>
        <v>9234</v>
      </c>
      <c r="G724" s="153">
        <f t="shared" si="98"/>
        <v>11800</v>
      </c>
      <c r="H724" s="153">
        <f t="shared" si="98"/>
        <v>5109.1</v>
      </c>
      <c r="I724" s="370">
        <f t="shared" si="96"/>
        <v>55.329218106995896</v>
      </c>
      <c r="J724" s="370">
        <f t="shared" si="97"/>
        <v>43.297457627118646</v>
      </c>
    </row>
    <row r="725" spans="1:10" ht="24">
      <c r="A725" s="57" t="s">
        <v>1355</v>
      </c>
      <c r="B725" s="55" t="s">
        <v>1291</v>
      </c>
      <c r="C725" s="55" t="s">
        <v>417</v>
      </c>
      <c r="D725" s="55" t="s">
        <v>1436</v>
      </c>
      <c r="E725" s="55" t="s">
        <v>554</v>
      </c>
      <c r="F725" s="60">
        <f>9234</f>
        <v>9234</v>
      </c>
      <c r="G725" s="60">
        <f>9234+2566</f>
        <v>11800</v>
      </c>
      <c r="H725" s="60">
        <v>5109.1</v>
      </c>
      <c r="I725" s="370">
        <f t="shared" si="96"/>
        <v>55.329218106995896</v>
      </c>
      <c r="J725" s="370">
        <f t="shared" si="97"/>
        <v>43.297457627118646</v>
      </c>
    </row>
    <row r="726" spans="1:10" ht="24">
      <c r="A726" s="65" t="s">
        <v>426</v>
      </c>
      <c r="B726" s="55" t="s">
        <v>1291</v>
      </c>
      <c r="C726" s="55" t="s">
        <v>1291</v>
      </c>
      <c r="D726" s="55"/>
      <c r="E726" s="55"/>
      <c r="F726" s="153">
        <f aca="true" t="shared" si="99" ref="F726:H727">F727</f>
        <v>17074</v>
      </c>
      <c r="G726" s="153">
        <f t="shared" si="99"/>
        <v>19231.800000000003</v>
      </c>
      <c r="H726" s="153">
        <f t="shared" si="99"/>
        <v>18043.899999999998</v>
      </c>
      <c r="I726" s="370">
        <f t="shared" si="96"/>
        <v>105.68056694389128</v>
      </c>
      <c r="J726" s="370">
        <f t="shared" si="97"/>
        <v>93.82325107374243</v>
      </c>
    </row>
    <row r="727" spans="1:10" ht="36">
      <c r="A727" s="56" t="s">
        <v>1430</v>
      </c>
      <c r="B727" s="55" t="s">
        <v>1291</v>
      </c>
      <c r="C727" s="55" t="s">
        <v>1291</v>
      </c>
      <c r="D727" s="55" t="s">
        <v>1431</v>
      </c>
      <c r="E727" s="55"/>
      <c r="F727" s="153">
        <f t="shared" si="99"/>
        <v>17074</v>
      </c>
      <c r="G727" s="153">
        <f t="shared" si="99"/>
        <v>19231.800000000003</v>
      </c>
      <c r="H727" s="153">
        <f t="shared" si="99"/>
        <v>18043.899999999998</v>
      </c>
      <c r="I727" s="370">
        <f t="shared" si="96"/>
        <v>105.68056694389128</v>
      </c>
      <c r="J727" s="370">
        <f t="shared" si="97"/>
        <v>93.82325107374243</v>
      </c>
    </row>
    <row r="728" spans="1:10" ht="36">
      <c r="A728" s="64" t="s">
        <v>8</v>
      </c>
      <c r="B728" s="55" t="s">
        <v>1291</v>
      </c>
      <c r="C728" s="55" t="s">
        <v>1291</v>
      </c>
      <c r="D728" s="55" t="s">
        <v>9</v>
      </c>
      <c r="E728" s="55"/>
      <c r="F728" s="153">
        <f>F729+F734+F742+F739</f>
        <v>17074</v>
      </c>
      <c r="G728" s="153">
        <f>G729+G734+G742+G739</f>
        <v>19231.800000000003</v>
      </c>
      <c r="H728" s="153">
        <f>H729+H734+H742+H739</f>
        <v>18043.899999999998</v>
      </c>
      <c r="I728" s="370">
        <f t="shared" si="96"/>
        <v>105.68056694389128</v>
      </c>
      <c r="J728" s="370">
        <f t="shared" si="97"/>
        <v>93.82325107374243</v>
      </c>
    </row>
    <row r="729" spans="1:10" ht="36">
      <c r="A729" s="57" t="s">
        <v>10</v>
      </c>
      <c r="B729" s="55" t="s">
        <v>1291</v>
      </c>
      <c r="C729" s="55" t="s">
        <v>1291</v>
      </c>
      <c r="D729" s="55" t="s">
        <v>11</v>
      </c>
      <c r="E729" s="55" t="s">
        <v>920</v>
      </c>
      <c r="F729" s="153">
        <f>F730+F732</f>
        <v>4149</v>
      </c>
      <c r="G729" s="153">
        <f>G730+G732</f>
        <v>4149</v>
      </c>
      <c r="H729" s="153">
        <f>H730+H732</f>
        <v>3930.5</v>
      </c>
      <c r="I729" s="370">
        <f t="shared" si="96"/>
        <v>94.73367076403953</v>
      </c>
      <c r="J729" s="370">
        <f t="shared" si="97"/>
        <v>94.73367076403953</v>
      </c>
    </row>
    <row r="730" spans="1:10" ht="60">
      <c r="A730" s="206" t="s">
        <v>63</v>
      </c>
      <c r="B730" s="55" t="s">
        <v>1291</v>
      </c>
      <c r="C730" s="55" t="s">
        <v>1291</v>
      </c>
      <c r="D730" s="55" t="s">
        <v>11</v>
      </c>
      <c r="E730" s="55" t="s">
        <v>64</v>
      </c>
      <c r="F730" s="153">
        <f>F731</f>
        <v>4125</v>
      </c>
      <c r="G730" s="153">
        <f>G731</f>
        <v>4149</v>
      </c>
      <c r="H730" s="153">
        <f>H731</f>
        <v>3930.5</v>
      </c>
      <c r="I730" s="370">
        <f t="shared" si="96"/>
        <v>95.28484848484848</v>
      </c>
      <c r="J730" s="370">
        <f t="shared" si="97"/>
        <v>94.73367076403953</v>
      </c>
    </row>
    <row r="731" spans="1:10" ht="24">
      <c r="A731" s="57" t="s">
        <v>1427</v>
      </c>
      <c r="B731" s="55" t="s">
        <v>1291</v>
      </c>
      <c r="C731" s="55" t="s">
        <v>1291</v>
      </c>
      <c r="D731" s="55" t="s">
        <v>11</v>
      </c>
      <c r="E731" s="55" t="s">
        <v>527</v>
      </c>
      <c r="F731" s="60">
        <f>4125</f>
        <v>4125</v>
      </c>
      <c r="G731" s="60">
        <f>4125+24</f>
        <v>4149</v>
      </c>
      <c r="H731" s="60">
        <v>3930.5</v>
      </c>
      <c r="I731" s="370">
        <f t="shared" si="96"/>
        <v>95.28484848484848</v>
      </c>
      <c r="J731" s="370">
        <f t="shared" si="97"/>
        <v>94.73367076403953</v>
      </c>
    </row>
    <row r="732" spans="1:10" ht="24">
      <c r="A732" s="206" t="s">
        <v>68</v>
      </c>
      <c r="B732" s="55" t="s">
        <v>1291</v>
      </c>
      <c r="C732" s="55" t="s">
        <v>1291</v>
      </c>
      <c r="D732" s="55" t="s">
        <v>11</v>
      </c>
      <c r="E732" s="55" t="s">
        <v>528</v>
      </c>
      <c r="F732" s="153">
        <f>F733</f>
        <v>24</v>
      </c>
      <c r="G732" s="153">
        <f>G733</f>
        <v>0</v>
      </c>
      <c r="H732" s="153">
        <f>H733</f>
        <v>0</v>
      </c>
      <c r="I732" s="370">
        <f t="shared" si="96"/>
        <v>0</v>
      </c>
      <c r="J732" s="370"/>
    </row>
    <row r="733" spans="1:10" ht="24">
      <c r="A733" s="206" t="s">
        <v>710</v>
      </c>
      <c r="B733" s="55" t="s">
        <v>1291</v>
      </c>
      <c r="C733" s="55" t="s">
        <v>1291</v>
      </c>
      <c r="D733" s="55" t="s">
        <v>11</v>
      </c>
      <c r="E733" s="55" t="s">
        <v>1486</v>
      </c>
      <c r="F733" s="60">
        <v>24</v>
      </c>
      <c r="G733" s="60">
        <f>24-24</f>
        <v>0</v>
      </c>
      <c r="H733" s="60">
        <f>24-24</f>
        <v>0</v>
      </c>
      <c r="I733" s="370">
        <f t="shared" si="96"/>
        <v>0</v>
      </c>
      <c r="J733" s="370"/>
    </row>
    <row r="734" spans="1:10" ht="24">
      <c r="A734" s="57" t="s">
        <v>531</v>
      </c>
      <c r="B734" s="55" t="s">
        <v>1291</v>
      </c>
      <c r="C734" s="55" t="s">
        <v>1291</v>
      </c>
      <c r="D734" s="55" t="s">
        <v>12</v>
      </c>
      <c r="E734" s="55" t="s">
        <v>920</v>
      </c>
      <c r="F734" s="153">
        <f>F735+F737</f>
        <v>8817</v>
      </c>
      <c r="G734" s="153">
        <f>G735+G737</f>
        <v>10478.800000000001</v>
      </c>
      <c r="H734" s="153">
        <f>H735+H737</f>
        <v>9539</v>
      </c>
      <c r="I734" s="370">
        <f t="shared" si="96"/>
        <v>108.18872632414653</v>
      </c>
      <c r="J734" s="370">
        <f t="shared" si="97"/>
        <v>91.03141581097071</v>
      </c>
    </row>
    <row r="735" spans="1:10" ht="60">
      <c r="A735" s="126" t="s">
        <v>63</v>
      </c>
      <c r="B735" s="55" t="s">
        <v>1291</v>
      </c>
      <c r="C735" s="55" t="s">
        <v>1291</v>
      </c>
      <c r="D735" s="55" t="s">
        <v>12</v>
      </c>
      <c r="E735" s="55" t="s">
        <v>64</v>
      </c>
      <c r="F735" s="153">
        <f>F736</f>
        <v>8286</v>
      </c>
      <c r="G735" s="153">
        <f>G736</f>
        <v>9966.800000000001</v>
      </c>
      <c r="H735" s="153">
        <f>H736</f>
        <v>9042</v>
      </c>
      <c r="I735" s="370">
        <f t="shared" si="96"/>
        <v>109.12382331643738</v>
      </c>
      <c r="J735" s="370">
        <f t="shared" si="97"/>
        <v>90.72119436529276</v>
      </c>
    </row>
    <row r="736" spans="1:10" ht="24">
      <c r="A736" s="57" t="s">
        <v>1427</v>
      </c>
      <c r="B736" s="55" t="s">
        <v>1291</v>
      </c>
      <c r="C736" s="55" t="s">
        <v>1291</v>
      </c>
      <c r="D736" s="55" t="s">
        <v>12</v>
      </c>
      <c r="E736" s="55" t="s">
        <v>527</v>
      </c>
      <c r="F736" s="60">
        <f>8286</f>
        <v>8286</v>
      </c>
      <c r="G736" s="60">
        <f>8286+746.7+934.1</f>
        <v>9966.800000000001</v>
      </c>
      <c r="H736" s="60">
        <v>9042</v>
      </c>
      <c r="I736" s="370">
        <f t="shared" si="96"/>
        <v>109.12382331643738</v>
      </c>
      <c r="J736" s="370">
        <f t="shared" si="97"/>
        <v>90.72119436529276</v>
      </c>
    </row>
    <row r="737" spans="1:10" ht="24">
      <c r="A737" s="206" t="s">
        <v>68</v>
      </c>
      <c r="B737" s="55" t="s">
        <v>1291</v>
      </c>
      <c r="C737" s="55" t="s">
        <v>1291</v>
      </c>
      <c r="D737" s="55" t="s">
        <v>12</v>
      </c>
      <c r="E737" s="55" t="s">
        <v>528</v>
      </c>
      <c r="F737" s="153">
        <f>F738</f>
        <v>531</v>
      </c>
      <c r="G737" s="153">
        <f>G738</f>
        <v>512</v>
      </c>
      <c r="H737" s="153">
        <f>H738</f>
        <v>497</v>
      </c>
      <c r="I737" s="370">
        <f t="shared" si="96"/>
        <v>93.5969868173258</v>
      </c>
      <c r="J737" s="370">
        <f t="shared" si="97"/>
        <v>97.0703125</v>
      </c>
    </row>
    <row r="738" spans="1:10" ht="24">
      <c r="A738" s="206" t="s">
        <v>710</v>
      </c>
      <c r="B738" s="55" t="s">
        <v>1291</v>
      </c>
      <c r="C738" s="55" t="s">
        <v>1291</v>
      </c>
      <c r="D738" s="55" t="s">
        <v>12</v>
      </c>
      <c r="E738" s="55" t="s">
        <v>1486</v>
      </c>
      <c r="F738" s="60">
        <f>531</f>
        <v>531</v>
      </c>
      <c r="G738" s="60">
        <f>531+6-60+35</f>
        <v>512</v>
      </c>
      <c r="H738" s="60">
        <v>497</v>
      </c>
      <c r="I738" s="370">
        <f t="shared" si="96"/>
        <v>93.5969868173258</v>
      </c>
      <c r="J738" s="370">
        <f t="shared" si="97"/>
        <v>97.0703125</v>
      </c>
    </row>
    <row r="739" spans="1:10" ht="24">
      <c r="A739" s="207" t="s">
        <v>1487</v>
      </c>
      <c r="B739" s="55" t="s">
        <v>1291</v>
      </c>
      <c r="C739" s="55" t="s">
        <v>1291</v>
      </c>
      <c r="D739" s="55" t="s">
        <v>13</v>
      </c>
      <c r="E739" s="59" t="s">
        <v>920</v>
      </c>
      <c r="F739" s="153">
        <f aca="true" t="shared" si="100" ref="F739:H740">F740</f>
        <v>20</v>
      </c>
      <c r="G739" s="153">
        <f t="shared" si="100"/>
        <v>165</v>
      </c>
      <c r="H739" s="153">
        <f t="shared" si="100"/>
        <v>150.1</v>
      </c>
      <c r="I739" s="370">
        <f t="shared" si="96"/>
        <v>750.5</v>
      </c>
      <c r="J739" s="370">
        <f t="shared" si="97"/>
        <v>90.96969696969697</v>
      </c>
    </row>
    <row r="740" spans="1:10" ht="24">
      <c r="A740" s="206" t="s">
        <v>793</v>
      </c>
      <c r="B740" s="55" t="s">
        <v>1291</v>
      </c>
      <c r="C740" s="55" t="s">
        <v>1291</v>
      </c>
      <c r="D740" s="55" t="s">
        <v>13</v>
      </c>
      <c r="E740" s="59" t="s">
        <v>794</v>
      </c>
      <c r="F740" s="153">
        <f t="shared" si="100"/>
        <v>20</v>
      </c>
      <c r="G740" s="153">
        <f t="shared" si="100"/>
        <v>165</v>
      </c>
      <c r="H740" s="153">
        <f t="shared" si="100"/>
        <v>150.1</v>
      </c>
      <c r="I740" s="370">
        <f t="shared" si="96"/>
        <v>750.5</v>
      </c>
      <c r="J740" s="370">
        <f t="shared" si="97"/>
        <v>90.96969696969697</v>
      </c>
    </row>
    <row r="741" spans="1:10" ht="24">
      <c r="A741" s="206" t="s">
        <v>70</v>
      </c>
      <c r="B741" s="55" t="s">
        <v>1291</v>
      </c>
      <c r="C741" s="55" t="s">
        <v>1291</v>
      </c>
      <c r="D741" s="55" t="s">
        <v>13</v>
      </c>
      <c r="E741" s="59" t="s">
        <v>71</v>
      </c>
      <c r="F741" s="60">
        <f>20</f>
        <v>20</v>
      </c>
      <c r="G741" s="60">
        <f>20+60+85</f>
        <v>165</v>
      </c>
      <c r="H741" s="60">
        <v>150.1</v>
      </c>
      <c r="I741" s="370">
        <f t="shared" si="96"/>
        <v>750.5</v>
      </c>
      <c r="J741" s="370">
        <f t="shared" si="97"/>
        <v>90.96969696969697</v>
      </c>
    </row>
    <row r="742" spans="1:10" ht="25.5" customHeight="1">
      <c r="A742" s="64" t="s">
        <v>14</v>
      </c>
      <c r="B742" s="55" t="s">
        <v>1291</v>
      </c>
      <c r="C742" s="55" t="s">
        <v>1291</v>
      </c>
      <c r="D742" s="55" t="s">
        <v>15</v>
      </c>
      <c r="E742" s="59" t="s">
        <v>920</v>
      </c>
      <c r="F742" s="153">
        <f>F744</f>
        <v>4088</v>
      </c>
      <c r="G742" s="153">
        <f>G744</f>
        <v>4439</v>
      </c>
      <c r="H742" s="153">
        <f>H744</f>
        <v>4424.3</v>
      </c>
      <c r="I742" s="370">
        <f t="shared" si="96"/>
        <v>108.2265166340509</v>
      </c>
      <c r="J742" s="370">
        <f t="shared" si="97"/>
        <v>99.66884433430954</v>
      </c>
    </row>
    <row r="743" spans="1:10" ht="36.75" customHeight="1">
      <c r="A743" s="62" t="s">
        <v>139</v>
      </c>
      <c r="B743" s="55" t="s">
        <v>1291</v>
      </c>
      <c r="C743" s="55" t="s">
        <v>1291</v>
      </c>
      <c r="D743" s="55" t="s">
        <v>15</v>
      </c>
      <c r="E743" s="59" t="s">
        <v>1454</v>
      </c>
      <c r="F743" s="153">
        <f>F744</f>
        <v>4088</v>
      </c>
      <c r="G743" s="153">
        <f>G744</f>
        <v>4439</v>
      </c>
      <c r="H743" s="153">
        <f>H744</f>
        <v>4424.3</v>
      </c>
      <c r="I743" s="370">
        <f t="shared" si="96"/>
        <v>108.2265166340509</v>
      </c>
      <c r="J743" s="370">
        <f t="shared" si="97"/>
        <v>99.66884433430954</v>
      </c>
    </row>
    <row r="744" spans="1:10" ht="24">
      <c r="A744" s="57" t="s">
        <v>1355</v>
      </c>
      <c r="B744" s="55" t="s">
        <v>1291</v>
      </c>
      <c r="C744" s="55" t="s">
        <v>1291</v>
      </c>
      <c r="D744" s="55" t="s">
        <v>15</v>
      </c>
      <c r="E744" s="59" t="s">
        <v>554</v>
      </c>
      <c r="F744" s="60">
        <v>4088</v>
      </c>
      <c r="G744" s="60">
        <v>4439</v>
      </c>
      <c r="H744" s="60">
        <v>4424.3</v>
      </c>
      <c r="I744" s="370">
        <f t="shared" si="96"/>
        <v>108.2265166340509</v>
      </c>
      <c r="J744" s="370">
        <f t="shared" si="97"/>
        <v>99.66884433430954</v>
      </c>
    </row>
    <row r="745" spans="1:10" ht="24.75" customHeight="1">
      <c r="A745" s="124" t="s">
        <v>427</v>
      </c>
      <c r="B745" s="79" t="s">
        <v>519</v>
      </c>
      <c r="C745" s="79"/>
      <c r="D745" s="69"/>
      <c r="E745" s="69"/>
      <c r="F745" s="154">
        <f>F746+F756+F884</f>
        <v>121695.6</v>
      </c>
      <c r="G745" s="154">
        <f>G746+G756+G884</f>
        <v>137752.4</v>
      </c>
      <c r="H745" s="154">
        <f>H746+H756+H884</f>
        <v>119406.6</v>
      </c>
      <c r="I745" s="370">
        <f t="shared" si="96"/>
        <v>98.1190774358317</v>
      </c>
      <c r="J745" s="370">
        <f t="shared" si="97"/>
        <v>86.68204691896476</v>
      </c>
    </row>
    <row r="746" spans="1:10" ht="15.75">
      <c r="A746" s="61" t="s">
        <v>400</v>
      </c>
      <c r="B746" s="55" t="s">
        <v>519</v>
      </c>
      <c r="C746" s="55" t="s">
        <v>1105</v>
      </c>
      <c r="D746" s="68"/>
      <c r="E746" s="68"/>
      <c r="F746" s="158">
        <f aca="true" t="shared" si="101" ref="F746:H748">F747</f>
        <v>8044.5</v>
      </c>
      <c r="G746" s="158">
        <f t="shared" si="101"/>
        <v>8044.5</v>
      </c>
      <c r="H746" s="158">
        <f t="shared" si="101"/>
        <v>7822.4</v>
      </c>
      <c r="I746" s="370">
        <f t="shared" si="96"/>
        <v>97.23910746472745</v>
      </c>
      <c r="J746" s="370">
        <f t="shared" si="97"/>
        <v>97.23910746472745</v>
      </c>
    </row>
    <row r="747" spans="1:10" ht="36">
      <c r="A747" s="56" t="s">
        <v>16</v>
      </c>
      <c r="B747" s="55" t="s">
        <v>519</v>
      </c>
      <c r="C747" s="55" t="s">
        <v>1105</v>
      </c>
      <c r="D747" s="55" t="s">
        <v>17</v>
      </c>
      <c r="E747" s="68"/>
      <c r="F747" s="153">
        <f t="shared" si="101"/>
        <v>8044.5</v>
      </c>
      <c r="G747" s="153">
        <f t="shared" si="101"/>
        <v>8044.5</v>
      </c>
      <c r="H747" s="153">
        <f t="shared" si="101"/>
        <v>7822.4</v>
      </c>
      <c r="I747" s="370">
        <f t="shared" si="96"/>
        <v>97.23910746472745</v>
      </c>
      <c r="J747" s="370">
        <f t="shared" si="97"/>
        <v>97.23910746472745</v>
      </c>
    </row>
    <row r="748" spans="1:10" ht="48">
      <c r="A748" s="62" t="s">
        <v>18</v>
      </c>
      <c r="B748" s="55" t="s">
        <v>519</v>
      </c>
      <c r="C748" s="55" t="s">
        <v>1105</v>
      </c>
      <c r="D748" s="55" t="s">
        <v>19</v>
      </c>
      <c r="E748" s="68"/>
      <c r="F748" s="153">
        <f t="shared" si="101"/>
        <v>8044.5</v>
      </c>
      <c r="G748" s="153">
        <f t="shared" si="101"/>
        <v>8044.5</v>
      </c>
      <c r="H748" s="153">
        <f t="shared" si="101"/>
        <v>7822.4</v>
      </c>
      <c r="I748" s="370">
        <f t="shared" si="96"/>
        <v>97.23910746472745</v>
      </c>
      <c r="J748" s="370">
        <f t="shared" si="97"/>
        <v>97.23910746472745</v>
      </c>
    </row>
    <row r="749" spans="1:10" ht="24">
      <c r="A749" s="62" t="s">
        <v>428</v>
      </c>
      <c r="B749" s="68" t="s">
        <v>519</v>
      </c>
      <c r="C749" s="68" t="s">
        <v>1105</v>
      </c>
      <c r="D749" s="55" t="s">
        <v>20</v>
      </c>
      <c r="E749" s="68" t="s">
        <v>920</v>
      </c>
      <c r="F749" s="158">
        <f>F751</f>
        <v>8044.5</v>
      </c>
      <c r="G749" s="158">
        <f>G751</f>
        <v>8044.5</v>
      </c>
      <c r="H749" s="158">
        <f>H751</f>
        <v>7822.4</v>
      </c>
      <c r="I749" s="370">
        <f t="shared" si="96"/>
        <v>97.23910746472745</v>
      </c>
      <c r="J749" s="370">
        <f t="shared" si="97"/>
        <v>97.23910746472745</v>
      </c>
    </row>
    <row r="750" spans="1:10" ht="24">
      <c r="A750" s="76" t="s">
        <v>429</v>
      </c>
      <c r="B750" s="55" t="s">
        <v>519</v>
      </c>
      <c r="C750" s="55" t="s">
        <v>1105</v>
      </c>
      <c r="D750" s="55" t="s">
        <v>20</v>
      </c>
      <c r="E750" s="55" t="s">
        <v>920</v>
      </c>
      <c r="F750" s="153">
        <f>F751</f>
        <v>8044.5</v>
      </c>
      <c r="G750" s="153">
        <f>G751</f>
        <v>8044.5</v>
      </c>
      <c r="H750" s="153">
        <f>H751</f>
        <v>7822.4</v>
      </c>
      <c r="I750" s="370">
        <f t="shared" si="96"/>
        <v>97.23910746472745</v>
      </c>
      <c r="J750" s="370">
        <f t="shared" si="97"/>
        <v>97.23910746472745</v>
      </c>
    </row>
    <row r="751" spans="1:10" ht="34.5" customHeight="1">
      <c r="A751" s="57" t="s">
        <v>804</v>
      </c>
      <c r="B751" s="55" t="s">
        <v>519</v>
      </c>
      <c r="C751" s="55" t="s">
        <v>1105</v>
      </c>
      <c r="D751" s="55" t="s">
        <v>20</v>
      </c>
      <c r="E751" s="55" t="s">
        <v>920</v>
      </c>
      <c r="F751" s="153">
        <f>F752+F754</f>
        <v>8044.5</v>
      </c>
      <c r="G751" s="153">
        <f>G752+G754</f>
        <v>8044.5</v>
      </c>
      <c r="H751" s="153">
        <f>H752+H754</f>
        <v>7822.4</v>
      </c>
      <c r="I751" s="370">
        <f t="shared" si="96"/>
        <v>97.23910746472745</v>
      </c>
      <c r="J751" s="370">
        <f t="shared" si="97"/>
        <v>97.23910746472745</v>
      </c>
    </row>
    <row r="752" spans="1:10" ht="24" customHeight="1">
      <c r="A752" s="57" t="s">
        <v>21</v>
      </c>
      <c r="B752" s="55" t="s">
        <v>519</v>
      </c>
      <c r="C752" s="55" t="s">
        <v>1105</v>
      </c>
      <c r="D752" s="55" t="s">
        <v>20</v>
      </c>
      <c r="E752" s="55" t="s">
        <v>528</v>
      </c>
      <c r="F752" s="153">
        <f>F753</f>
        <v>79.7</v>
      </c>
      <c r="G752" s="153">
        <f>G753</f>
        <v>79.7</v>
      </c>
      <c r="H752" s="153">
        <f>H753</f>
        <v>52.9</v>
      </c>
      <c r="I752" s="370">
        <f t="shared" si="96"/>
        <v>66.37390213299874</v>
      </c>
      <c r="J752" s="370">
        <f t="shared" si="97"/>
        <v>66.37390213299874</v>
      </c>
    </row>
    <row r="753" spans="1:10" ht="34.5" customHeight="1">
      <c r="A753" s="57" t="s">
        <v>22</v>
      </c>
      <c r="B753" s="55" t="s">
        <v>519</v>
      </c>
      <c r="C753" s="55" t="s">
        <v>1105</v>
      </c>
      <c r="D753" s="55" t="s">
        <v>20</v>
      </c>
      <c r="E753" s="55" t="s">
        <v>1486</v>
      </c>
      <c r="F753" s="60">
        <v>79.7</v>
      </c>
      <c r="G753" s="60">
        <v>79.7</v>
      </c>
      <c r="H753" s="60">
        <v>52.9</v>
      </c>
      <c r="I753" s="370">
        <f t="shared" si="96"/>
        <v>66.37390213299874</v>
      </c>
      <c r="J753" s="370">
        <f t="shared" si="97"/>
        <v>66.37390213299874</v>
      </c>
    </row>
    <row r="754" spans="1:10" ht="24.75" customHeight="1">
      <c r="A754" s="206" t="s">
        <v>767</v>
      </c>
      <c r="B754" s="55" t="s">
        <v>519</v>
      </c>
      <c r="C754" s="55" t="s">
        <v>1105</v>
      </c>
      <c r="D754" s="55" t="s">
        <v>20</v>
      </c>
      <c r="E754" s="55" t="s">
        <v>768</v>
      </c>
      <c r="F754" s="153">
        <f>F755</f>
        <v>7964.8</v>
      </c>
      <c r="G754" s="153">
        <f>G755</f>
        <v>7964.8</v>
      </c>
      <c r="H754" s="153">
        <f>H755</f>
        <v>7769.5</v>
      </c>
      <c r="I754" s="370">
        <f t="shared" si="96"/>
        <v>97.5479610285255</v>
      </c>
      <c r="J754" s="370">
        <f t="shared" si="97"/>
        <v>97.5479610285255</v>
      </c>
    </row>
    <row r="755" spans="1:10" ht="24.75" customHeight="1">
      <c r="A755" s="206" t="s">
        <v>1080</v>
      </c>
      <c r="B755" s="55" t="s">
        <v>519</v>
      </c>
      <c r="C755" s="55" t="s">
        <v>1105</v>
      </c>
      <c r="D755" s="55" t="s">
        <v>20</v>
      </c>
      <c r="E755" s="55" t="s">
        <v>1081</v>
      </c>
      <c r="F755" s="60">
        <f>8044.5-79.7</f>
        <v>7964.8</v>
      </c>
      <c r="G755" s="60">
        <f>8044.5-79.7</f>
        <v>7964.8</v>
      </c>
      <c r="H755" s="60">
        <v>7769.5</v>
      </c>
      <c r="I755" s="370">
        <f t="shared" si="96"/>
        <v>97.5479610285255</v>
      </c>
      <c r="J755" s="370">
        <f t="shared" si="97"/>
        <v>97.5479610285255</v>
      </c>
    </row>
    <row r="756" spans="1:10" ht="15.75">
      <c r="A756" s="61" t="s">
        <v>401</v>
      </c>
      <c r="B756" s="55" t="s">
        <v>519</v>
      </c>
      <c r="C756" s="55" t="s">
        <v>530</v>
      </c>
      <c r="D756" s="55"/>
      <c r="E756" s="55"/>
      <c r="F756" s="158">
        <f>F757+F762+F858</f>
        <v>45392.100000000006</v>
      </c>
      <c r="G756" s="158">
        <f>G757+G762+G858</f>
        <v>63252.4</v>
      </c>
      <c r="H756" s="158">
        <f>H757+H762+H858</f>
        <v>55226.8</v>
      </c>
      <c r="I756" s="370">
        <f t="shared" si="96"/>
        <v>121.66610489490462</v>
      </c>
      <c r="J756" s="370">
        <f t="shared" si="97"/>
        <v>87.31178579785114</v>
      </c>
    </row>
    <row r="757" spans="1:11" ht="24">
      <c r="A757" s="383" t="s">
        <v>1227</v>
      </c>
      <c r="B757" s="55" t="s">
        <v>519</v>
      </c>
      <c r="C757" s="55" t="s">
        <v>530</v>
      </c>
      <c r="D757" s="55" t="s">
        <v>1228</v>
      </c>
      <c r="E757" s="55"/>
      <c r="F757" s="153">
        <f aca="true" t="shared" si="102" ref="F757:H760">F758</f>
        <v>3000</v>
      </c>
      <c r="G757" s="153">
        <f t="shared" si="102"/>
        <v>3000</v>
      </c>
      <c r="H757" s="153">
        <f t="shared" si="102"/>
        <v>2812.5</v>
      </c>
      <c r="I757" s="370">
        <f t="shared" si="96"/>
        <v>93.75</v>
      </c>
      <c r="J757" s="370">
        <f t="shared" si="97"/>
        <v>93.75</v>
      </c>
      <c r="K757" s="400"/>
    </row>
    <row r="758" spans="1:23" s="402" customFormat="1" ht="35.25" customHeight="1">
      <c r="A758" s="386" t="s">
        <v>1261</v>
      </c>
      <c r="B758" s="55" t="s">
        <v>519</v>
      </c>
      <c r="C758" s="55" t="s">
        <v>530</v>
      </c>
      <c r="D758" s="55" t="s">
        <v>1262</v>
      </c>
      <c r="E758" s="55"/>
      <c r="F758" s="153">
        <f t="shared" si="102"/>
        <v>3000</v>
      </c>
      <c r="G758" s="153">
        <f t="shared" si="102"/>
        <v>3000</v>
      </c>
      <c r="H758" s="153">
        <f t="shared" si="102"/>
        <v>2812.5</v>
      </c>
      <c r="I758" s="370">
        <f t="shared" si="96"/>
        <v>93.75</v>
      </c>
      <c r="J758" s="370">
        <f t="shared" si="97"/>
        <v>93.75</v>
      </c>
      <c r="K758" s="400"/>
      <c r="L758" s="401"/>
      <c r="M758" s="400"/>
      <c r="N758" s="400"/>
      <c r="O758" s="400"/>
      <c r="P758" s="400"/>
      <c r="Q758" s="400"/>
      <c r="R758" s="400"/>
      <c r="S758" s="400"/>
      <c r="T758" s="400"/>
      <c r="U758" s="400"/>
      <c r="V758" s="400"/>
      <c r="W758" s="400"/>
    </row>
    <row r="759" spans="1:23" s="402" customFormat="1" ht="177" customHeight="1">
      <c r="A759" s="62" t="s">
        <v>1077</v>
      </c>
      <c r="B759" s="55" t="s">
        <v>1078</v>
      </c>
      <c r="C759" s="55" t="s">
        <v>530</v>
      </c>
      <c r="D759" s="55" t="s">
        <v>24</v>
      </c>
      <c r="E759" s="55" t="s">
        <v>920</v>
      </c>
      <c r="F759" s="153">
        <f t="shared" si="102"/>
        <v>3000</v>
      </c>
      <c r="G759" s="153">
        <f t="shared" si="102"/>
        <v>3000</v>
      </c>
      <c r="H759" s="153">
        <f t="shared" si="102"/>
        <v>2812.5</v>
      </c>
      <c r="I759" s="370">
        <f t="shared" si="96"/>
        <v>93.75</v>
      </c>
      <c r="J759" s="370">
        <f t="shared" si="97"/>
        <v>93.75</v>
      </c>
      <c r="K759" s="400"/>
      <c r="L759" s="401"/>
      <c r="M759" s="400"/>
      <c r="N759" s="400"/>
      <c r="O759" s="400"/>
      <c r="P759" s="400"/>
      <c r="Q759" s="400"/>
      <c r="R759" s="400"/>
      <c r="S759" s="400"/>
      <c r="T759" s="400"/>
      <c r="U759" s="400"/>
      <c r="V759" s="400"/>
      <c r="W759" s="400"/>
    </row>
    <row r="760" spans="1:23" s="402" customFormat="1" ht="28.5" customHeight="1">
      <c r="A760" s="206" t="s">
        <v>767</v>
      </c>
      <c r="B760" s="55" t="s">
        <v>1078</v>
      </c>
      <c r="C760" s="55" t="s">
        <v>530</v>
      </c>
      <c r="D760" s="55" t="s">
        <v>24</v>
      </c>
      <c r="E760" s="55" t="s">
        <v>768</v>
      </c>
      <c r="F760" s="153">
        <f t="shared" si="102"/>
        <v>3000</v>
      </c>
      <c r="G760" s="153">
        <f t="shared" si="102"/>
        <v>3000</v>
      </c>
      <c r="H760" s="153">
        <f t="shared" si="102"/>
        <v>2812.5</v>
      </c>
      <c r="I760" s="370">
        <f t="shared" si="96"/>
        <v>93.75</v>
      </c>
      <c r="J760" s="370">
        <f t="shared" si="97"/>
        <v>93.75</v>
      </c>
      <c r="K760" s="400"/>
      <c r="L760" s="401"/>
      <c r="M760" s="400"/>
      <c r="N760" s="400"/>
      <c r="O760" s="400"/>
      <c r="P760" s="400"/>
      <c r="Q760" s="400"/>
      <c r="R760" s="400"/>
      <c r="S760" s="400"/>
      <c r="T760" s="400"/>
      <c r="U760" s="400"/>
      <c r="V760" s="400"/>
      <c r="W760" s="400"/>
    </row>
    <row r="761" spans="1:23" s="402" customFormat="1" ht="24">
      <c r="A761" s="62" t="s">
        <v>1079</v>
      </c>
      <c r="B761" s="55" t="s">
        <v>1078</v>
      </c>
      <c r="C761" s="55" t="s">
        <v>530</v>
      </c>
      <c r="D761" s="55" t="s">
        <v>24</v>
      </c>
      <c r="E761" s="55" t="s">
        <v>1074</v>
      </c>
      <c r="F761" s="60">
        <v>3000</v>
      </c>
      <c r="G761" s="60">
        <v>3000</v>
      </c>
      <c r="H761" s="60">
        <v>2812.5</v>
      </c>
      <c r="I761" s="370">
        <f t="shared" si="96"/>
        <v>93.75</v>
      </c>
      <c r="J761" s="370">
        <f t="shared" si="97"/>
        <v>93.75</v>
      </c>
      <c r="K761" s="400"/>
      <c r="L761" s="401"/>
      <c r="M761" s="400"/>
      <c r="N761" s="400"/>
      <c r="O761" s="400"/>
      <c r="P761" s="400"/>
      <c r="Q761" s="400"/>
      <c r="R761" s="400"/>
      <c r="S761" s="400"/>
      <c r="T761" s="400"/>
      <c r="U761" s="400"/>
      <c r="V761" s="400"/>
      <c r="W761" s="400"/>
    </row>
    <row r="762" spans="1:23" s="402" customFormat="1" ht="36">
      <c r="A762" s="56" t="s">
        <v>16</v>
      </c>
      <c r="B762" s="55" t="s">
        <v>519</v>
      </c>
      <c r="C762" s="55" t="s">
        <v>530</v>
      </c>
      <c r="D762" s="55" t="s">
        <v>17</v>
      </c>
      <c r="E762" s="55"/>
      <c r="F762" s="153">
        <f>F763+F854</f>
        <v>38066.8</v>
      </c>
      <c r="G762" s="153">
        <f>G763+G854</f>
        <v>47541</v>
      </c>
      <c r="H762" s="153">
        <f>H763+H854</f>
        <v>44476.9</v>
      </c>
      <c r="I762" s="370">
        <f t="shared" si="96"/>
        <v>116.83908287536646</v>
      </c>
      <c r="J762" s="370">
        <f t="shared" si="97"/>
        <v>93.5548263604047</v>
      </c>
      <c r="K762" s="400"/>
      <c r="L762" s="401"/>
      <c r="M762" s="400"/>
      <c r="N762" s="400"/>
      <c r="O762" s="400"/>
      <c r="P762" s="400"/>
      <c r="Q762" s="400"/>
      <c r="R762" s="400"/>
      <c r="S762" s="400"/>
      <c r="T762" s="400"/>
      <c r="U762" s="400"/>
      <c r="V762" s="400"/>
      <c r="W762" s="400"/>
    </row>
    <row r="763" spans="1:23" s="402" customFormat="1" ht="48">
      <c r="A763" s="62" t="s">
        <v>18</v>
      </c>
      <c r="B763" s="55" t="s">
        <v>519</v>
      </c>
      <c r="C763" s="55" t="s">
        <v>530</v>
      </c>
      <c r="D763" s="55" t="s">
        <v>19</v>
      </c>
      <c r="E763" s="55"/>
      <c r="F763" s="153">
        <f>F764+F769+F774+F777+F780+F785+F790+F795+F800+F805+F810+F815+F820+F825+F828+F833+F835+F840+F843+F849+F847</f>
        <v>37566.8</v>
      </c>
      <c r="G763" s="153">
        <f>G764+G769+G774+G777+G780+G785+G790+G795+G800+G805+G810+G815+G820+G825+G828+G833+G835+G840+G843+G849+G847</f>
        <v>47041</v>
      </c>
      <c r="H763" s="153">
        <f>H764+H769+H774+H777+H780+H785+H790+H795+H800+H805+H810+H815+H820+H825+H828+H833+H835+H840+H843+H849+H847</f>
        <v>43976.9</v>
      </c>
      <c r="I763" s="370">
        <f t="shared" si="96"/>
        <v>117.06320474461491</v>
      </c>
      <c r="J763" s="370">
        <f t="shared" si="97"/>
        <v>93.48632044386812</v>
      </c>
      <c r="K763" s="355"/>
      <c r="L763" s="401"/>
      <c r="M763" s="400"/>
      <c r="N763" s="400"/>
      <c r="O763" s="400"/>
      <c r="P763" s="400"/>
      <c r="Q763" s="400"/>
      <c r="R763" s="400"/>
      <c r="S763" s="400"/>
      <c r="T763" s="400"/>
      <c r="U763" s="400"/>
      <c r="V763" s="400"/>
      <c r="W763" s="400"/>
    </row>
    <row r="764" spans="1:10" ht="162" customHeight="1">
      <c r="A764" s="403" t="s">
        <v>25</v>
      </c>
      <c r="B764" s="55" t="s">
        <v>519</v>
      </c>
      <c r="C764" s="55" t="s">
        <v>530</v>
      </c>
      <c r="D764" s="55" t="s">
        <v>26</v>
      </c>
      <c r="E764" s="55" t="s">
        <v>920</v>
      </c>
      <c r="F764" s="153">
        <f>F765+F767</f>
        <v>403.00000000000006</v>
      </c>
      <c r="G764" s="153">
        <f>G765+G767</f>
        <v>403.00000000000006</v>
      </c>
      <c r="H764" s="153">
        <f>H765+H767</f>
        <v>5.3</v>
      </c>
      <c r="I764" s="370">
        <f t="shared" si="96"/>
        <v>1.3151364764267988</v>
      </c>
      <c r="J764" s="370">
        <f t="shared" si="97"/>
        <v>1.3151364764267988</v>
      </c>
    </row>
    <row r="765" spans="1:10" ht="33.75" customHeight="1">
      <c r="A765" s="57" t="s">
        <v>21</v>
      </c>
      <c r="B765" s="55" t="s">
        <v>519</v>
      </c>
      <c r="C765" s="55" t="s">
        <v>530</v>
      </c>
      <c r="D765" s="55" t="s">
        <v>26</v>
      </c>
      <c r="E765" s="55" t="s">
        <v>528</v>
      </c>
      <c r="F765" s="153">
        <f>F766</f>
        <v>3</v>
      </c>
      <c r="G765" s="153">
        <f>G766</f>
        <v>3</v>
      </c>
      <c r="H765" s="153">
        <f>H766</f>
        <v>0.3</v>
      </c>
      <c r="I765" s="370">
        <f t="shared" si="96"/>
        <v>10</v>
      </c>
      <c r="J765" s="370">
        <f t="shared" si="97"/>
        <v>10</v>
      </c>
    </row>
    <row r="766" spans="1:10" ht="21" customHeight="1">
      <c r="A766" s="57" t="s">
        <v>22</v>
      </c>
      <c r="B766" s="55" t="s">
        <v>519</v>
      </c>
      <c r="C766" s="55" t="s">
        <v>530</v>
      </c>
      <c r="D766" s="55" t="s">
        <v>26</v>
      </c>
      <c r="E766" s="55" t="s">
        <v>1486</v>
      </c>
      <c r="F766" s="60">
        <v>3</v>
      </c>
      <c r="G766" s="60">
        <v>3</v>
      </c>
      <c r="H766" s="60">
        <v>0.3</v>
      </c>
      <c r="I766" s="370">
        <f t="shared" si="96"/>
        <v>10</v>
      </c>
      <c r="J766" s="370">
        <f t="shared" si="97"/>
        <v>10</v>
      </c>
    </row>
    <row r="767" spans="1:10" ht="22.5" customHeight="1">
      <c r="A767" s="126" t="s">
        <v>767</v>
      </c>
      <c r="B767" s="55" t="s">
        <v>519</v>
      </c>
      <c r="C767" s="55" t="s">
        <v>530</v>
      </c>
      <c r="D767" s="55" t="s">
        <v>26</v>
      </c>
      <c r="E767" s="55" t="s">
        <v>768</v>
      </c>
      <c r="F767" s="153">
        <f>F768</f>
        <v>400.00000000000006</v>
      </c>
      <c r="G767" s="153">
        <f>G768</f>
        <v>400.00000000000006</v>
      </c>
      <c r="H767" s="153">
        <f>H768</f>
        <v>5</v>
      </c>
      <c r="I767" s="370">
        <f t="shared" si="96"/>
        <v>1.25</v>
      </c>
      <c r="J767" s="370">
        <f t="shared" si="97"/>
        <v>1.25</v>
      </c>
    </row>
    <row r="768" spans="1:10" ht="24">
      <c r="A768" s="62" t="s">
        <v>1080</v>
      </c>
      <c r="B768" s="55" t="s">
        <v>519</v>
      </c>
      <c r="C768" s="55" t="s">
        <v>530</v>
      </c>
      <c r="D768" s="55" t="s">
        <v>26</v>
      </c>
      <c r="E768" s="55" t="s">
        <v>1081</v>
      </c>
      <c r="F768" s="60">
        <f>724.7-3-2.4-319.3</f>
        <v>400.00000000000006</v>
      </c>
      <c r="G768" s="60">
        <f>724.7-3-2.4-319.3</f>
        <v>400.00000000000006</v>
      </c>
      <c r="H768" s="60">
        <v>5</v>
      </c>
      <c r="I768" s="370">
        <f t="shared" si="96"/>
        <v>1.25</v>
      </c>
      <c r="J768" s="370">
        <f t="shared" si="97"/>
        <v>1.25</v>
      </c>
    </row>
    <row r="769" spans="1:10" ht="49.5" customHeight="1">
      <c r="A769" s="62" t="s">
        <v>27</v>
      </c>
      <c r="B769" s="55" t="s">
        <v>519</v>
      </c>
      <c r="C769" s="55" t="s">
        <v>530</v>
      </c>
      <c r="D769" s="55" t="s">
        <v>28</v>
      </c>
      <c r="E769" s="55" t="s">
        <v>920</v>
      </c>
      <c r="F769" s="153">
        <f>F770+F772</f>
        <v>321.7</v>
      </c>
      <c r="G769" s="153">
        <f>G770+G772</f>
        <v>321.7</v>
      </c>
      <c r="H769" s="153">
        <f>H770+H772</f>
        <v>176.5</v>
      </c>
      <c r="I769" s="370">
        <f t="shared" si="96"/>
        <v>54.864780851725214</v>
      </c>
      <c r="J769" s="370">
        <f t="shared" si="97"/>
        <v>54.864780851725214</v>
      </c>
    </row>
    <row r="770" spans="1:10" ht="24">
      <c r="A770" s="57" t="s">
        <v>21</v>
      </c>
      <c r="B770" s="55" t="s">
        <v>519</v>
      </c>
      <c r="C770" s="55" t="s">
        <v>530</v>
      </c>
      <c r="D770" s="55" t="s">
        <v>28</v>
      </c>
      <c r="E770" s="55" t="s">
        <v>528</v>
      </c>
      <c r="F770" s="153">
        <f>F771</f>
        <v>2.4</v>
      </c>
      <c r="G770" s="153">
        <f>G771</f>
        <v>2.4</v>
      </c>
      <c r="H770" s="153">
        <f>H771</f>
        <v>1.3</v>
      </c>
      <c r="I770" s="370">
        <f t="shared" si="96"/>
        <v>54.16666666666667</v>
      </c>
      <c r="J770" s="370">
        <f t="shared" si="97"/>
        <v>54.16666666666667</v>
      </c>
    </row>
    <row r="771" spans="1:10" ht="36">
      <c r="A771" s="57" t="s">
        <v>22</v>
      </c>
      <c r="B771" s="55" t="s">
        <v>519</v>
      </c>
      <c r="C771" s="55" t="s">
        <v>530</v>
      </c>
      <c r="D771" s="55" t="s">
        <v>28</v>
      </c>
      <c r="E771" s="55" t="s">
        <v>1486</v>
      </c>
      <c r="F771" s="60">
        <v>2.4</v>
      </c>
      <c r="G771" s="60">
        <v>2.4</v>
      </c>
      <c r="H771" s="60">
        <v>1.3</v>
      </c>
      <c r="I771" s="370">
        <f t="shared" si="96"/>
        <v>54.16666666666667</v>
      </c>
      <c r="J771" s="370">
        <f t="shared" si="97"/>
        <v>54.16666666666667</v>
      </c>
    </row>
    <row r="772" spans="1:10" ht="24">
      <c r="A772" s="126" t="s">
        <v>767</v>
      </c>
      <c r="B772" s="55" t="s">
        <v>519</v>
      </c>
      <c r="C772" s="55" t="s">
        <v>530</v>
      </c>
      <c r="D772" s="55" t="s">
        <v>28</v>
      </c>
      <c r="E772" s="55" t="s">
        <v>768</v>
      </c>
      <c r="F772" s="153">
        <f>F773</f>
        <v>319.3</v>
      </c>
      <c r="G772" s="153">
        <f>G773</f>
        <v>319.3</v>
      </c>
      <c r="H772" s="153">
        <f>H773</f>
        <v>175.2</v>
      </c>
      <c r="I772" s="370">
        <f aca="true" t="shared" si="103" ref="I772:I824">H772/F772*100</f>
        <v>54.87002818665832</v>
      </c>
      <c r="J772" s="370">
        <f aca="true" t="shared" si="104" ref="J772:J824">H772/G772*100</f>
        <v>54.87002818665832</v>
      </c>
    </row>
    <row r="773" spans="1:10" ht="24">
      <c r="A773" s="62" t="s">
        <v>1080</v>
      </c>
      <c r="B773" s="55" t="s">
        <v>519</v>
      </c>
      <c r="C773" s="55" t="s">
        <v>530</v>
      </c>
      <c r="D773" s="55" t="s">
        <v>28</v>
      </c>
      <c r="E773" s="55" t="s">
        <v>1081</v>
      </c>
      <c r="F773" s="60">
        <v>319.3</v>
      </c>
      <c r="G773" s="60">
        <v>319.3</v>
      </c>
      <c r="H773" s="60">
        <v>175.2</v>
      </c>
      <c r="I773" s="370">
        <f t="shared" si="103"/>
        <v>54.87002818665832</v>
      </c>
      <c r="J773" s="370">
        <f t="shared" si="104"/>
        <v>54.87002818665832</v>
      </c>
    </row>
    <row r="774" spans="1:10" ht="124.5" customHeight="1">
      <c r="A774" s="57" t="s">
        <v>927</v>
      </c>
      <c r="B774" s="55" t="s">
        <v>519</v>
      </c>
      <c r="C774" s="55" t="s">
        <v>530</v>
      </c>
      <c r="D774" s="55" t="s">
        <v>29</v>
      </c>
      <c r="E774" s="55" t="s">
        <v>920</v>
      </c>
      <c r="F774" s="153">
        <f>F776</f>
        <v>2560</v>
      </c>
      <c r="G774" s="153">
        <f>G776</f>
        <v>2060</v>
      </c>
      <c r="H774" s="153">
        <f>H775</f>
        <v>1595</v>
      </c>
      <c r="I774" s="370">
        <f t="shared" si="103"/>
        <v>62.3046875</v>
      </c>
      <c r="J774" s="370">
        <f t="shared" si="104"/>
        <v>77.42718446601941</v>
      </c>
    </row>
    <row r="775" spans="1:10" ht="26.25" customHeight="1">
      <c r="A775" s="126" t="s">
        <v>767</v>
      </c>
      <c r="B775" s="55" t="s">
        <v>519</v>
      </c>
      <c r="C775" s="55" t="s">
        <v>530</v>
      </c>
      <c r="D775" s="55" t="s">
        <v>29</v>
      </c>
      <c r="E775" s="55" t="s">
        <v>768</v>
      </c>
      <c r="F775" s="153">
        <f>F776</f>
        <v>2560</v>
      </c>
      <c r="G775" s="153">
        <f>G776</f>
        <v>2060</v>
      </c>
      <c r="H775" s="153">
        <f>H776</f>
        <v>1595</v>
      </c>
      <c r="I775" s="370">
        <f t="shared" si="103"/>
        <v>62.3046875</v>
      </c>
      <c r="J775" s="370">
        <f t="shared" si="104"/>
        <v>77.42718446601941</v>
      </c>
    </row>
    <row r="776" spans="1:10" ht="24">
      <c r="A776" s="62" t="s">
        <v>1080</v>
      </c>
      <c r="B776" s="55" t="s">
        <v>519</v>
      </c>
      <c r="C776" s="55" t="s">
        <v>530</v>
      </c>
      <c r="D776" s="55" t="s">
        <v>29</v>
      </c>
      <c r="E776" s="55" t="s">
        <v>1081</v>
      </c>
      <c r="F776" s="60">
        <f>2560</f>
        <v>2560</v>
      </c>
      <c r="G776" s="60">
        <f>2560-500</f>
        <v>2060</v>
      </c>
      <c r="H776" s="60">
        <v>1595</v>
      </c>
      <c r="I776" s="370">
        <f t="shared" si="103"/>
        <v>62.3046875</v>
      </c>
      <c r="J776" s="370">
        <f t="shared" si="104"/>
        <v>77.42718446601941</v>
      </c>
    </row>
    <row r="777" spans="1:10" ht="48">
      <c r="A777" s="57" t="s">
        <v>998</v>
      </c>
      <c r="B777" s="55" t="s">
        <v>519</v>
      </c>
      <c r="C777" s="55" t="s">
        <v>530</v>
      </c>
      <c r="D777" s="55" t="s">
        <v>30</v>
      </c>
      <c r="E777" s="55" t="s">
        <v>920</v>
      </c>
      <c r="F777" s="153">
        <f>F779</f>
        <v>300</v>
      </c>
      <c r="G777" s="153">
        <f>G779</f>
        <v>300</v>
      </c>
      <c r="H777" s="153">
        <f>H779</f>
        <v>300</v>
      </c>
      <c r="I777" s="370">
        <f t="shared" si="103"/>
        <v>100</v>
      </c>
      <c r="J777" s="370">
        <f t="shared" si="104"/>
        <v>100</v>
      </c>
    </row>
    <row r="778" spans="1:10" ht="24">
      <c r="A778" s="126" t="s">
        <v>767</v>
      </c>
      <c r="B778" s="55" t="s">
        <v>519</v>
      </c>
      <c r="C778" s="55" t="s">
        <v>530</v>
      </c>
      <c r="D778" s="55" t="s">
        <v>30</v>
      </c>
      <c r="E778" s="55" t="s">
        <v>768</v>
      </c>
      <c r="F778" s="153">
        <f>F779</f>
        <v>300</v>
      </c>
      <c r="G778" s="153">
        <f>G779</f>
        <v>300</v>
      </c>
      <c r="H778" s="153">
        <f>H779</f>
        <v>300</v>
      </c>
      <c r="I778" s="370">
        <f t="shared" si="103"/>
        <v>100</v>
      </c>
      <c r="J778" s="370">
        <f t="shared" si="104"/>
        <v>100</v>
      </c>
    </row>
    <row r="779" spans="1:10" ht="24">
      <c r="A779" s="62" t="s">
        <v>1080</v>
      </c>
      <c r="B779" s="55" t="s">
        <v>519</v>
      </c>
      <c r="C779" s="55" t="s">
        <v>530</v>
      </c>
      <c r="D779" s="55" t="s">
        <v>30</v>
      </c>
      <c r="E779" s="55" t="s">
        <v>1081</v>
      </c>
      <c r="F779" s="60">
        <v>300</v>
      </c>
      <c r="G779" s="60">
        <v>300</v>
      </c>
      <c r="H779" s="60">
        <v>300</v>
      </c>
      <c r="I779" s="370">
        <f t="shared" si="103"/>
        <v>100</v>
      </c>
      <c r="J779" s="370">
        <f t="shared" si="104"/>
        <v>100</v>
      </c>
    </row>
    <row r="780" spans="1:10" ht="36">
      <c r="A780" s="57" t="s">
        <v>823</v>
      </c>
      <c r="B780" s="55" t="s">
        <v>519</v>
      </c>
      <c r="C780" s="55" t="s">
        <v>530</v>
      </c>
      <c r="D780" s="55" t="s">
        <v>31</v>
      </c>
      <c r="E780" s="55" t="s">
        <v>920</v>
      </c>
      <c r="F780" s="153">
        <f>F781+F783</f>
        <v>363.1</v>
      </c>
      <c r="G780" s="153">
        <f>G781+G783</f>
        <v>327.1</v>
      </c>
      <c r="H780" s="153">
        <f>H781+H783</f>
        <v>304.7</v>
      </c>
      <c r="I780" s="370">
        <f t="shared" si="103"/>
        <v>83.91627650784906</v>
      </c>
      <c r="J780" s="370">
        <f t="shared" si="104"/>
        <v>93.15194130235402</v>
      </c>
    </row>
    <row r="781" spans="1:10" ht="24">
      <c r="A781" s="57" t="s">
        <v>21</v>
      </c>
      <c r="B781" s="55" t="s">
        <v>519</v>
      </c>
      <c r="C781" s="55" t="s">
        <v>530</v>
      </c>
      <c r="D781" s="55" t="s">
        <v>31</v>
      </c>
      <c r="E781" s="55" t="s">
        <v>528</v>
      </c>
      <c r="F781" s="153">
        <f>F782</f>
        <v>10.6</v>
      </c>
      <c r="G781" s="153">
        <f>G782</f>
        <v>10.6</v>
      </c>
      <c r="H781" s="153">
        <f>H782</f>
        <v>4.7</v>
      </c>
      <c r="I781" s="370">
        <f t="shared" si="103"/>
        <v>44.339622641509436</v>
      </c>
      <c r="J781" s="370">
        <f t="shared" si="104"/>
        <v>44.339622641509436</v>
      </c>
    </row>
    <row r="782" spans="1:10" ht="36">
      <c r="A782" s="57" t="s">
        <v>22</v>
      </c>
      <c r="B782" s="55" t="s">
        <v>519</v>
      </c>
      <c r="C782" s="55" t="s">
        <v>530</v>
      </c>
      <c r="D782" s="55" t="s">
        <v>31</v>
      </c>
      <c r="E782" s="55" t="s">
        <v>1486</v>
      </c>
      <c r="F782" s="60">
        <v>10.6</v>
      </c>
      <c r="G782" s="60">
        <v>10.6</v>
      </c>
      <c r="H782" s="60">
        <v>4.7</v>
      </c>
      <c r="I782" s="370">
        <f t="shared" si="103"/>
        <v>44.339622641509436</v>
      </c>
      <c r="J782" s="370">
        <f t="shared" si="104"/>
        <v>44.339622641509436</v>
      </c>
    </row>
    <row r="783" spans="1:10" ht="24">
      <c r="A783" s="126" t="s">
        <v>767</v>
      </c>
      <c r="B783" s="55" t="s">
        <v>519</v>
      </c>
      <c r="C783" s="55" t="s">
        <v>530</v>
      </c>
      <c r="D783" s="55" t="s">
        <v>31</v>
      </c>
      <c r="E783" s="55" t="s">
        <v>768</v>
      </c>
      <c r="F783" s="153">
        <f>F784</f>
        <v>352.5</v>
      </c>
      <c r="G783" s="153">
        <f>G784</f>
        <v>316.5</v>
      </c>
      <c r="H783" s="153">
        <f>H784</f>
        <v>300</v>
      </c>
      <c r="I783" s="370">
        <f t="shared" si="103"/>
        <v>85.1063829787234</v>
      </c>
      <c r="J783" s="370">
        <f t="shared" si="104"/>
        <v>94.7867298578199</v>
      </c>
    </row>
    <row r="784" spans="1:10" ht="24">
      <c r="A784" s="62" t="s">
        <v>1080</v>
      </c>
      <c r="B784" s="55" t="s">
        <v>519</v>
      </c>
      <c r="C784" s="55" t="s">
        <v>530</v>
      </c>
      <c r="D784" s="55" t="s">
        <v>31</v>
      </c>
      <c r="E784" s="55" t="s">
        <v>1081</v>
      </c>
      <c r="F784" s="60">
        <v>352.5</v>
      </c>
      <c r="G784" s="60">
        <f>363.1-10.6-36</f>
        <v>316.5</v>
      </c>
      <c r="H784" s="60">
        <v>300</v>
      </c>
      <c r="I784" s="370">
        <f t="shared" si="103"/>
        <v>85.1063829787234</v>
      </c>
      <c r="J784" s="370">
        <f t="shared" si="104"/>
        <v>94.7867298578199</v>
      </c>
    </row>
    <row r="785" spans="1:10" ht="36">
      <c r="A785" s="57" t="s">
        <v>824</v>
      </c>
      <c r="B785" s="55" t="s">
        <v>519</v>
      </c>
      <c r="C785" s="55" t="s">
        <v>530</v>
      </c>
      <c r="D785" s="55" t="s">
        <v>32</v>
      </c>
      <c r="E785" s="55" t="s">
        <v>920</v>
      </c>
      <c r="F785" s="153">
        <f>F786+F788</f>
        <v>183.9</v>
      </c>
      <c r="G785" s="153">
        <f>G786+G788</f>
        <v>183.9</v>
      </c>
      <c r="H785" s="153">
        <f>H786+H788</f>
        <v>161.1</v>
      </c>
      <c r="I785" s="370">
        <f t="shared" si="103"/>
        <v>87.60195758564436</v>
      </c>
      <c r="J785" s="370">
        <f t="shared" si="104"/>
        <v>87.60195758564436</v>
      </c>
    </row>
    <row r="786" spans="1:10" ht="24">
      <c r="A786" s="57" t="s">
        <v>21</v>
      </c>
      <c r="B786" s="55" t="s">
        <v>519</v>
      </c>
      <c r="C786" s="55" t="s">
        <v>530</v>
      </c>
      <c r="D786" s="55" t="s">
        <v>32</v>
      </c>
      <c r="E786" s="55" t="s">
        <v>528</v>
      </c>
      <c r="F786" s="153">
        <f>F787</f>
        <v>5.4</v>
      </c>
      <c r="G786" s="153">
        <f>G787</f>
        <v>5.4</v>
      </c>
      <c r="H786" s="153">
        <f>H787</f>
        <v>3.6</v>
      </c>
      <c r="I786" s="370">
        <f t="shared" si="103"/>
        <v>66.66666666666666</v>
      </c>
      <c r="J786" s="370">
        <f t="shared" si="104"/>
        <v>66.66666666666666</v>
      </c>
    </row>
    <row r="787" spans="1:10" ht="36">
      <c r="A787" s="57" t="s">
        <v>22</v>
      </c>
      <c r="B787" s="55" t="s">
        <v>519</v>
      </c>
      <c r="C787" s="55" t="s">
        <v>530</v>
      </c>
      <c r="D787" s="55" t="s">
        <v>32</v>
      </c>
      <c r="E787" s="55" t="s">
        <v>1486</v>
      </c>
      <c r="F787" s="60">
        <v>5.4</v>
      </c>
      <c r="G787" s="60">
        <v>5.4</v>
      </c>
      <c r="H787" s="60">
        <v>3.6</v>
      </c>
      <c r="I787" s="370">
        <f t="shared" si="103"/>
        <v>66.66666666666666</v>
      </c>
      <c r="J787" s="370">
        <f t="shared" si="104"/>
        <v>66.66666666666666</v>
      </c>
    </row>
    <row r="788" spans="1:10" ht="24">
      <c r="A788" s="126" t="s">
        <v>767</v>
      </c>
      <c r="B788" s="55" t="s">
        <v>519</v>
      </c>
      <c r="C788" s="55" t="s">
        <v>530</v>
      </c>
      <c r="D788" s="55" t="s">
        <v>32</v>
      </c>
      <c r="E788" s="55" t="s">
        <v>768</v>
      </c>
      <c r="F788" s="153">
        <f>F789</f>
        <v>178.5</v>
      </c>
      <c r="G788" s="153">
        <f>G789</f>
        <v>178.5</v>
      </c>
      <c r="H788" s="153">
        <f>H789</f>
        <v>157.5</v>
      </c>
      <c r="I788" s="370">
        <f t="shared" si="103"/>
        <v>88.23529411764706</v>
      </c>
      <c r="J788" s="370">
        <f t="shared" si="104"/>
        <v>88.23529411764706</v>
      </c>
    </row>
    <row r="789" spans="1:10" ht="24">
      <c r="A789" s="62" t="s">
        <v>1080</v>
      </c>
      <c r="B789" s="55" t="s">
        <v>519</v>
      </c>
      <c r="C789" s="55" t="s">
        <v>530</v>
      </c>
      <c r="D789" s="55" t="s">
        <v>32</v>
      </c>
      <c r="E789" s="55" t="s">
        <v>1081</v>
      </c>
      <c r="F789" s="60">
        <f>183.9-5.4</f>
        <v>178.5</v>
      </c>
      <c r="G789" s="60">
        <f>183.9-5.4</f>
        <v>178.5</v>
      </c>
      <c r="H789" s="60">
        <v>157.5</v>
      </c>
      <c r="I789" s="370">
        <f t="shared" si="103"/>
        <v>88.23529411764706</v>
      </c>
      <c r="J789" s="370">
        <f t="shared" si="104"/>
        <v>88.23529411764706</v>
      </c>
    </row>
    <row r="790" spans="1:10" ht="36">
      <c r="A790" s="57" t="s">
        <v>672</v>
      </c>
      <c r="B790" s="55" t="s">
        <v>519</v>
      </c>
      <c r="C790" s="55" t="s">
        <v>530</v>
      </c>
      <c r="D790" s="55" t="s">
        <v>33</v>
      </c>
      <c r="E790" s="55" t="s">
        <v>920</v>
      </c>
      <c r="F790" s="153">
        <f>F792+F793</f>
        <v>344.5</v>
      </c>
      <c r="G790" s="153">
        <f>G792+G793</f>
        <v>380.5</v>
      </c>
      <c r="H790" s="153">
        <f>H792+H793</f>
        <v>302.9</v>
      </c>
      <c r="I790" s="370">
        <f t="shared" si="103"/>
        <v>87.92452830188678</v>
      </c>
      <c r="J790" s="370">
        <f t="shared" si="104"/>
        <v>79.60578186596582</v>
      </c>
    </row>
    <row r="791" spans="1:10" ht="24">
      <c r="A791" s="57" t="s">
        <v>21</v>
      </c>
      <c r="B791" s="55" t="s">
        <v>519</v>
      </c>
      <c r="C791" s="55" t="s">
        <v>530</v>
      </c>
      <c r="D791" s="55" t="s">
        <v>33</v>
      </c>
      <c r="E791" s="55" t="s">
        <v>528</v>
      </c>
      <c r="F791" s="153">
        <f>F792</f>
        <v>10</v>
      </c>
      <c r="G791" s="153">
        <f>G792</f>
        <v>10</v>
      </c>
      <c r="H791" s="153">
        <f>H792</f>
        <v>5.9</v>
      </c>
      <c r="I791" s="370">
        <f t="shared" si="103"/>
        <v>59.00000000000001</v>
      </c>
      <c r="J791" s="370">
        <f t="shared" si="104"/>
        <v>59.00000000000001</v>
      </c>
    </row>
    <row r="792" spans="1:10" ht="36">
      <c r="A792" s="57" t="s">
        <v>22</v>
      </c>
      <c r="B792" s="55" t="s">
        <v>519</v>
      </c>
      <c r="C792" s="55" t="s">
        <v>530</v>
      </c>
      <c r="D792" s="55" t="s">
        <v>33</v>
      </c>
      <c r="E792" s="55" t="s">
        <v>1486</v>
      </c>
      <c r="F792" s="60">
        <v>10</v>
      </c>
      <c r="G792" s="60">
        <v>10</v>
      </c>
      <c r="H792" s="60">
        <v>5.9</v>
      </c>
      <c r="I792" s="370">
        <f t="shared" si="103"/>
        <v>59.00000000000001</v>
      </c>
      <c r="J792" s="370">
        <f t="shared" si="104"/>
        <v>59.00000000000001</v>
      </c>
    </row>
    <row r="793" spans="1:10" ht="24">
      <c r="A793" s="126" t="s">
        <v>767</v>
      </c>
      <c r="B793" s="55" t="s">
        <v>519</v>
      </c>
      <c r="C793" s="55" t="s">
        <v>530</v>
      </c>
      <c r="D793" s="55" t="s">
        <v>33</v>
      </c>
      <c r="E793" s="55" t="s">
        <v>768</v>
      </c>
      <c r="F793" s="153">
        <f>F794</f>
        <v>334.5</v>
      </c>
      <c r="G793" s="153">
        <f>G794</f>
        <v>370.5</v>
      </c>
      <c r="H793" s="153">
        <f>H794</f>
        <v>297</v>
      </c>
      <c r="I793" s="370">
        <f t="shared" si="103"/>
        <v>88.78923766816143</v>
      </c>
      <c r="J793" s="370">
        <f t="shared" si="104"/>
        <v>80.16194331983806</v>
      </c>
    </row>
    <row r="794" spans="1:10" ht="24">
      <c r="A794" s="62" t="s">
        <v>1080</v>
      </c>
      <c r="B794" s="55" t="s">
        <v>519</v>
      </c>
      <c r="C794" s="55" t="s">
        <v>530</v>
      </c>
      <c r="D794" s="55" t="s">
        <v>33</v>
      </c>
      <c r="E794" s="55" t="s">
        <v>1081</v>
      </c>
      <c r="F794" s="60">
        <v>334.5</v>
      </c>
      <c r="G794" s="60">
        <f>344.5-10+36</f>
        <v>370.5</v>
      </c>
      <c r="H794" s="60">
        <v>297</v>
      </c>
      <c r="I794" s="370">
        <f t="shared" si="103"/>
        <v>88.78923766816143</v>
      </c>
      <c r="J794" s="370">
        <f t="shared" si="104"/>
        <v>80.16194331983806</v>
      </c>
    </row>
    <row r="795" spans="1:10" ht="24">
      <c r="A795" s="57" t="s">
        <v>1365</v>
      </c>
      <c r="B795" s="55" t="s">
        <v>519</v>
      </c>
      <c r="C795" s="55" t="s">
        <v>530</v>
      </c>
      <c r="D795" s="55" t="s">
        <v>34</v>
      </c>
      <c r="E795" s="55" t="s">
        <v>920</v>
      </c>
      <c r="F795" s="153">
        <f>F796+F798</f>
        <v>24.7</v>
      </c>
      <c r="G795" s="153">
        <f>G796+G798</f>
        <v>24.7</v>
      </c>
      <c r="H795" s="153">
        <f>H796+H798</f>
        <v>20</v>
      </c>
      <c r="I795" s="370">
        <f t="shared" si="103"/>
        <v>80.97165991902834</v>
      </c>
      <c r="J795" s="370">
        <f t="shared" si="104"/>
        <v>80.97165991902834</v>
      </c>
    </row>
    <row r="796" spans="1:10" ht="24">
      <c r="A796" s="57" t="s">
        <v>21</v>
      </c>
      <c r="B796" s="55" t="s">
        <v>519</v>
      </c>
      <c r="C796" s="55" t="s">
        <v>530</v>
      </c>
      <c r="D796" s="55" t="s">
        <v>34</v>
      </c>
      <c r="E796" s="55" t="s">
        <v>528</v>
      </c>
      <c r="F796" s="153">
        <f>F797</f>
        <v>0.7</v>
      </c>
      <c r="G796" s="153">
        <f>G797</f>
        <v>0.7</v>
      </c>
      <c r="H796" s="153">
        <f>H797</f>
        <v>0.5</v>
      </c>
      <c r="I796" s="370">
        <f t="shared" si="103"/>
        <v>71.42857142857143</v>
      </c>
      <c r="J796" s="370">
        <f t="shared" si="104"/>
        <v>71.42857142857143</v>
      </c>
    </row>
    <row r="797" spans="1:10" ht="36">
      <c r="A797" s="57" t="s">
        <v>22</v>
      </c>
      <c r="B797" s="55" t="s">
        <v>519</v>
      </c>
      <c r="C797" s="55" t="s">
        <v>530</v>
      </c>
      <c r="D797" s="55" t="s">
        <v>34</v>
      </c>
      <c r="E797" s="55" t="s">
        <v>1486</v>
      </c>
      <c r="F797" s="60">
        <v>0.7</v>
      </c>
      <c r="G797" s="60">
        <v>0.7</v>
      </c>
      <c r="H797" s="60">
        <v>0.5</v>
      </c>
      <c r="I797" s="370">
        <f t="shared" si="103"/>
        <v>71.42857142857143</v>
      </c>
      <c r="J797" s="370">
        <f t="shared" si="104"/>
        <v>71.42857142857143</v>
      </c>
    </row>
    <row r="798" spans="1:10" ht="24">
      <c r="A798" s="126" t="s">
        <v>767</v>
      </c>
      <c r="B798" s="55" t="s">
        <v>519</v>
      </c>
      <c r="C798" s="55" t="s">
        <v>530</v>
      </c>
      <c r="D798" s="55" t="s">
        <v>34</v>
      </c>
      <c r="E798" s="55" t="s">
        <v>768</v>
      </c>
      <c r="F798" s="153">
        <f>F799</f>
        <v>24</v>
      </c>
      <c r="G798" s="153">
        <f>G799</f>
        <v>24</v>
      </c>
      <c r="H798" s="153">
        <f>H799</f>
        <v>19.5</v>
      </c>
      <c r="I798" s="370">
        <f t="shared" si="103"/>
        <v>81.25</v>
      </c>
      <c r="J798" s="370">
        <f t="shared" si="104"/>
        <v>81.25</v>
      </c>
    </row>
    <row r="799" spans="1:10" ht="24">
      <c r="A799" s="62" t="s">
        <v>1080</v>
      </c>
      <c r="B799" s="55" t="s">
        <v>519</v>
      </c>
      <c r="C799" s="55" t="s">
        <v>530</v>
      </c>
      <c r="D799" s="55" t="s">
        <v>34</v>
      </c>
      <c r="E799" s="55" t="s">
        <v>1081</v>
      </c>
      <c r="F799" s="60">
        <f>24.7-0.7</f>
        <v>24</v>
      </c>
      <c r="G799" s="60">
        <f>24.7-0.7</f>
        <v>24</v>
      </c>
      <c r="H799" s="60">
        <v>19.5</v>
      </c>
      <c r="I799" s="370">
        <f t="shared" si="103"/>
        <v>81.25</v>
      </c>
      <c r="J799" s="370">
        <f t="shared" si="104"/>
        <v>81.25</v>
      </c>
    </row>
    <row r="800" spans="1:10" ht="24">
      <c r="A800" s="57" t="s">
        <v>1145</v>
      </c>
      <c r="B800" s="55" t="s">
        <v>519</v>
      </c>
      <c r="C800" s="55" t="s">
        <v>530</v>
      </c>
      <c r="D800" s="55" t="s">
        <v>35</v>
      </c>
      <c r="E800" s="55" t="s">
        <v>920</v>
      </c>
      <c r="F800" s="153">
        <f>F801+F803</f>
        <v>38.6</v>
      </c>
      <c r="G800" s="153">
        <f>G801+G803</f>
        <v>38.6</v>
      </c>
      <c r="H800" s="153">
        <f>H801+H803</f>
        <v>13.7</v>
      </c>
      <c r="I800" s="370">
        <f t="shared" si="103"/>
        <v>35.49222797927461</v>
      </c>
      <c r="J800" s="370">
        <f t="shared" si="104"/>
        <v>35.49222797927461</v>
      </c>
    </row>
    <row r="801" spans="1:10" ht="24">
      <c r="A801" s="57" t="s">
        <v>21</v>
      </c>
      <c r="B801" s="55" t="s">
        <v>519</v>
      </c>
      <c r="C801" s="55" t="s">
        <v>530</v>
      </c>
      <c r="D801" s="55" t="s">
        <v>35</v>
      </c>
      <c r="E801" s="55" t="s">
        <v>528</v>
      </c>
      <c r="F801" s="153">
        <f>F802</f>
        <v>1.1</v>
      </c>
      <c r="G801" s="153">
        <f>G802</f>
        <v>1.1</v>
      </c>
      <c r="H801" s="153">
        <f>H802</f>
        <v>0.2</v>
      </c>
      <c r="I801" s="370">
        <f t="shared" si="103"/>
        <v>18.181818181818183</v>
      </c>
      <c r="J801" s="370">
        <f t="shared" si="104"/>
        <v>18.181818181818183</v>
      </c>
    </row>
    <row r="802" spans="1:10" ht="36">
      <c r="A802" s="57" t="s">
        <v>22</v>
      </c>
      <c r="B802" s="55" t="s">
        <v>519</v>
      </c>
      <c r="C802" s="55" t="s">
        <v>530</v>
      </c>
      <c r="D802" s="55" t="s">
        <v>35</v>
      </c>
      <c r="E802" s="55" t="s">
        <v>1486</v>
      </c>
      <c r="F802" s="60">
        <v>1.1</v>
      </c>
      <c r="G802" s="60">
        <v>1.1</v>
      </c>
      <c r="H802" s="60">
        <v>0.2</v>
      </c>
      <c r="I802" s="370">
        <f t="shared" si="103"/>
        <v>18.181818181818183</v>
      </c>
      <c r="J802" s="370">
        <f t="shared" si="104"/>
        <v>18.181818181818183</v>
      </c>
    </row>
    <row r="803" spans="1:10" ht="24">
      <c r="A803" s="126" t="s">
        <v>767</v>
      </c>
      <c r="B803" s="55" t="s">
        <v>519</v>
      </c>
      <c r="C803" s="55" t="s">
        <v>530</v>
      </c>
      <c r="D803" s="55" t="s">
        <v>35</v>
      </c>
      <c r="E803" s="55" t="s">
        <v>768</v>
      </c>
      <c r="F803" s="153">
        <f>F804</f>
        <v>37.5</v>
      </c>
      <c r="G803" s="153">
        <f>G804</f>
        <v>37.5</v>
      </c>
      <c r="H803" s="153">
        <f>H804</f>
        <v>13.5</v>
      </c>
      <c r="I803" s="370">
        <f t="shared" si="103"/>
        <v>36</v>
      </c>
      <c r="J803" s="370">
        <f t="shared" si="104"/>
        <v>36</v>
      </c>
    </row>
    <row r="804" spans="1:10" ht="24">
      <c r="A804" s="62" t="s">
        <v>1080</v>
      </c>
      <c r="B804" s="55" t="s">
        <v>519</v>
      </c>
      <c r="C804" s="55" t="s">
        <v>530</v>
      </c>
      <c r="D804" s="55" t="s">
        <v>35</v>
      </c>
      <c r="E804" s="55" t="s">
        <v>1081</v>
      </c>
      <c r="F804" s="60">
        <f>38.6-1.1</f>
        <v>37.5</v>
      </c>
      <c r="G804" s="60">
        <f>38.6-1.1</f>
        <v>37.5</v>
      </c>
      <c r="H804" s="60">
        <v>13.5</v>
      </c>
      <c r="I804" s="370">
        <f t="shared" si="103"/>
        <v>36</v>
      </c>
      <c r="J804" s="370">
        <f t="shared" si="104"/>
        <v>36</v>
      </c>
    </row>
    <row r="805" spans="1:10" ht="24">
      <c r="A805" s="57" t="s">
        <v>1146</v>
      </c>
      <c r="B805" s="55" t="s">
        <v>519</v>
      </c>
      <c r="C805" s="55" t="s">
        <v>530</v>
      </c>
      <c r="D805" s="55" t="s">
        <v>36</v>
      </c>
      <c r="E805" s="55" t="s">
        <v>920</v>
      </c>
      <c r="F805" s="153">
        <f>F806+F808</f>
        <v>35.5</v>
      </c>
      <c r="G805" s="153">
        <f>G806+G808</f>
        <v>35.5</v>
      </c>
      <c r="H805" s="153">
        <f>H806+H808</f>
        <v>25.8</v>
      </c>
      <c r="I805" s="370">
        <f t="shared" si="103"/>
        <v>72.67605633802818</v>
      </c>
      <c r="J805" s="370">
        <f t="shared" si="104"/>
        <v>72.67605633802818</v>
      </c>
    </row>
    <row r="806" spans="1:10" ht="24">
      <c r="A806" s="57" t="s">
        <v>21</v>
      </c>
      <c r="B806" s="55" t="s">
        <v>519</v>
      </c>
      <c r="C806" s="55" t="s">
        <v>530</v>
      </c>
      <c r="D806" s="55" t="s">
        <v>36</v>
      </c>
      <c r="E806" s="55" t="s">
        <v>528</v>
      </c>
      <c r="F806" s="153">
        <f>F807</f>
        <v>1</v>
      </c>
      <c r="G806" s="153">
        <f>G807</f>
        <v>1</v>
      </c>
      <c r="H806" s="153">
        <f>H807</f>
        <v>0.8</v>
      </c>
      <c r="I806" s="370">
        <f t="shared" si="103"/>
        <v>80</v>
      </c>
      <c r="J806" s="370">
        <f t="shared" si="104"/>
        <v>80</v>
      </c>
    </row>
    <row r="807" spans="1:10" ht="36">
      <c r="A807" s="57" t="s">
        <v>22</v>
      </c>
      <c r="B807" s="55" t="s">
        <v>519</v>
      </c>
      <c r="C807" s="55" t="s">
        <v>530</v>
      </c>
      <c r="D807" s="55" t="s">
        <v>36</v>
      </c>
      <c r="E807" s="55" t="s">
        <v>1486</v>
      </c>
      <c r="F807" s="60">
        <v>1</v>
      </c>
      <c r="G807" s="60">
        <v>1</v>
      </c>
      <c r="H807" s="60">
        <v>0.8</v>
      </c>
      <c r="I807" s="370">
        <f t="shared" si="103"/>
        <v>80</v>
      </c>
      <c r="J807" s="370">
        <f t="shared" si="104"/>
        <v>80</v>
      </c>
    </row>
    <row r="808" spans="1:10" ht="24">
      <c r="A808" s="126" t="s">
        <v>767</v>
      </c>
      <c r="B808" s="55" t="s">
        <v>519</v>
      </c>
      <c r="C808" s="55" t="s">
        <v>530</v>
      </c>
      <c r="D808" s="55" t="s">
        <v>36</v>
      </c>
      <c r="E808" s="55" t="s">
        <v>768</v>
      </c>
      <c r="F808" s="153">
        <f>F809</f>
        <v>34.5</v>
      </c>
      <c r="G808" s="153">
        <f>G809</f>
        <v>34.5</v>
      </c>
      <c r="H808" s="153">
        <f>H809</f>
        <v>25</v>
      </c>
      <c r="I808" s="370">
        <f t="shared" si="103"/>
        <v>72.46376811594203</v>
      </c>
      <c r="J808" s="370">
        <f t="shared" si="104"/>
        <v>72.46376811594203</v>
      </c>
    </row>
    <row r="809" spans="1:10" ht="24">
      <c r="A809" s="62" t="s">
        <v>1080</v>
      </c>
      <c r="B809" s="55" t="s">
        <v>519</v>
      </c>
      <c r="C809" s="55" t="s">
        <v>530</v>
      </c>
      <c r="D809" s="55" t="s">
        <v>36</v>
      </c>
      <c r="E809" s="55" t="s">
        <v>1081</v>
      </c>
      <c r="F809" s="60">
        <f>35.5-1</f>
        <v>34.5</v>
      </c>
      <c r="G809" s="60">
        <f>35.5-1</f>
        <v>34.5</v>
      </c>
      <c r="H809" s="60">
        <v>25</v>
      </c>
      <c r="I809" s="370">
        <f t="shared" si="103"/>
        <v>72.46376811594203</v>
      </c>
      <c r="J809" s="370">
        <f t="shared" si="104"/>
        <v>72.46376811594203</v>
      </c>
    </row>
    <row r="810" spans="1:10" ht="24">
      <c r="A810" s="57" t="s">
        <v>1147</v>
      </c>
      <c r="B810" s="55" t="s">
        <v>519</v>
      </c>
      <c r="C810" s="55" t="s">
        <v>530</v>
      </c>
      <c r="D810" s="55" t="s">
        <v>37</v>
      </c>
      <c r="E810" s="55" t="s">
        <v>920</v>
      </c>
      <c r="F810" s="153">
        <f>F811+F813</f>
        <v>13.9</v>
      </c>
      <c r="G810" s="153">
        <f>G811+G813</f>
        <v>13.9</v>
      </c>
      <c r="H810" s="153">
        <f>H811+H813</f>
        <v>12.2</v>
      </c>
      <c r="I810" s="370">
        <f t="shared" si="103"/>
        <v>87.76978417266186</v>
      </c>
      <c r="J810" s="370">
        <f t="shared" si="104"/>
        <v>87.76978417266186</v>
      </c>
    </row>
    <row r="811" spans="1:10" ht="24">
      <c r="A811" s="57" t="s">
        <v>21</v>
      </c>
      <c r="B811" s="55" t="s">
        <v>519</v>
      </c>
      <c r="C811" s="55" t="s">
        <v>530</v>
      </c>
      <c r="D811" s="55" t="s">
        <v>37</v>
      </c>
      <c r="E811" s="55" t="s">
        <v>528</v>
      </c>
      <c r="F811" s="153">
        <f>F812</f>
        <v>0.4</v>
      </c>
      <c r="G811" s="153">
        <f>G812</f>
        <v>0.4</v>
      </c>
      <c r="H811" s="153">
        <f>H812</f>
        <v>0.2</v>
      </c>
      <c r="I811" s="370">
        <f t="shared" si="103"/>
        <v>50</v>
      </c>
      <c r="J811" s="370">
        <f t="shared" si="104"/>
        <v>50</v>
      </c>
    </row>
    <row r="812" spans="1:10" ht="36">
      <c r="A812" s="57" t="s">
        <v>22</v>
      </c>
      <c r="B812" s="55" t="s">
        <v>519</v>
      </c>
      <c r="C812" s="55" t="s">
        <v>530</v>
      </c>
      <c r="D812" s="55" t="s">
        <v>37</v>
      </c>
      <c r="E812" s="55" t="s">
        <v>1486</v>
      </c>
      <c r="F812" s="60">
        <v>0.4</v>
      </c>
      <c r="G812" s="60">
        <v>0.4</v>
      </c>
      <c r="H812" s="60">
        <v>0.2</v>
      </c>
      <c r="I812" s="370">
        <f t="shared" si="103"/>
        <v>50</v>
      </c>
      <c r="J812" s="370">
        <f t="shared" si="104"/>
        <v>50</v>
      </c>
    </row>
    <row r="813" spans="1:10" ht="24">
      <c r="A813" s="126" t="s">
        <v>767</v>
      </c>
      <c r="B813" s="55" t="s">
        <v>519</v>
      </c>
      <c r="C813" s="55" t="s">
        <v>530</v>
      </c>
      <c r="D813" s="55" t="s">
        <v>37</v>
      </c>
      <c r="E813" s="55" t="s">
        <v>768</v>
      </c>
      <c r="F813" s="153">
        <f>F814</f>
        <v>13.5</v>
      </c>
      <c r="G813" s="153">
        <f>G814</f>
        <v>13.5</v>
      </c>
      <c r="H813" s="153">
        <f>H814</f>
        <v>12</v>
      </c>
      <c r="I813" s="370">
        <f t="shared" si="103"/>
        <v>88.88888888888889</v>
      </c>
      <c r="J813" s="370">
        <f t="shared" si="104"/>
        <v>88.88888888888889</v>
      </c>
    </row>
    <row r="814" spans="1:10" ht="24">
      <c r="A814" s="62" t="s">
        <v>1080</v>
      </c>
      <c r="B814" s="55" t="s">
        <v>519</v>
      </c>
      <c r="C814" s="55" t="s">
        <v>530</v>
      </c>
      <c r="D814" s="55" t="s">
        <v>37</v>
      </c>
      <c r="E814" s="55" t="s">
        <v>1081</v>
      </c>
      <c r="F814" s="60">
        <f>13.9-0.4</f>
        <v>13.5</v>
      </c>
      <c r="G814" s="60">
        <f>13.9-0.4</f>
        <v>13.5</v>
      </c>
      <c r="H814" s="60">
        <v>12</v>
      </c>
      <c r="I814" s="370">
        <f t="shared" si="103"/>
        <v>88.88888888888889</v>
      </c>
      <c r="J814" s="370">
        <f t="shared" si="104"/>
        <v>88.88888888888889</v>
      </c>
    </row>
    <row r="815" spans="1:10" ht="36">
      <c r="A815" s="57" t="s">
        <v>1148</v>
      </c>
      <c r="B815" s="55" t="s">
        <v>519</v>
      </c>
      <c r="C815" s="55" t="s">
        <v>530</v>
      </c>
      <c r="D815" s="55" t="s">
        <v>38</v>
      </c>
      <c r="E815" s="55" t="s">
        <v>920</v>
      </c>
      <c r="F815" s="153">
        <f>F816+F818</f>
        <v>2317.5</v>
      </c>
      <c r="G815" s="153">
        <f>G816+G818</f>
        <v>2373.5</v>
      </c>
      <c r="H815" s="153">
        <f>H816+H818</f>
        <v>2255.8</v>
      </c>
      <c r="I815" s="370">
        <f t="shared" si="103"/>
        <v>97.33764832793959</v>
      </c>
      <c r="J815" s="370">
        <f t="shared" si="104"/>
        <v>95.0410785759427</v>
      </c>
    </row>
    <row r="816" spans="1:10" ht="24">
      <c r="A816" s="57" t="s">
        <v>21</v>
      </c>
      <c r="B816" s="55" t="s">
        <v>519</v>
      </c>
      <c r="C816" s="55" t="s">
        <v>530</v>
      </c>
      <c r="D816" s="55" t="s">
        <v>38</v>
      </c>
      <c r="E816" s="55" t="s">
        <v>528</v>
      </c>
      <c r="F816" s="153">
        <f>F817</f>
        <v>67.5</v>
      </c>
      <c r="G816" s="153">
        <f>G817</f>
        <v>67.5</v>
      </c>
      <c r="H816" s="153">
        <f>H817</f>
        <v>20.8</v>
      </c>
      <c r="I816" s="370">
        <f t="shared" si="103"/>
        <v>30.814814814814817</v>
      </c>
      <c r="J816" s="370">
        <f t="shared" si="104"/>
        <v>30.814814814814817</v>
      </c>
    </row>
    <row r="817" spans="1:10" ht="36">
      <c r="A817" s="57" t="s">
        <v>22</v>
      </c>
      <c r="B817" s="55" t="s">
        <v>519</v>
      </c>
      <c r="C817" s="55" t="s">
        <v>530</v>
      </c>
      <c r="D817" s="55" t="s">
        <v>38</v>
      </c>
      <c r="E817" s="55" t="s">
        <v>1486</v>
      </c>
      <c r="F817" s="60">
        <v>67.5</v>
      </c>
      <c r="G817" s="60">
        <v>67.5</v>
      </c>
      <c r="H817" s="60">
        <v>20.8</v>
      </c>
      <c r="I817" s="370">
        <f t="shared" si="103"/>
        <v>30.814814814814817</v>
      </c>
      <c r="J817" s="370">
        <f t="shared" si="104"/>
        <v>30.814814814814817</v>
      </c>
    </row>
    <row r="818" spans="1:10" ht="24">
      <c r="A818" s="126" t="s">
        <v>767</v>
      </c>
      <c r="B818" s="55" t="s">
        <v>519</v>
      </c>
      <c r="C818" s="55" t="s">
        <v>530</v>
      </c>
      <c r="D818" s="55" t="s">
        <v>38</v>
      </c>
      <c r="E818" s="55" t="s">
        <v>768</v>
      </c>
      <c r="F818" s="153">
        <f>F819</f>
        <v>2250</v>
      </c>
      <c r="G818" s="153">
        <f>G819</f>
        <v>2306</v>
      </c>
      <c r="H818" s="153">
        <f>H819</f>
        <v>2235</v>
      </c>
      <c r="I818" s="370">
        <f t="shared" si="103"/>
        <v>99.33333333333333</v>
      </c>
      <c r="J818" s="370">
        <f t="shared" si="104"/>
        <v>96.92107545533392</v>
      </c>
    </row>
    <row r="819" spans="1:10" ht="24">
      <c r="A819" s="62" t="s">
        <v>1080</v>
      </c>
      <c r="B819" s="55" t="s">
        <v>519</v>
      </c>
      <c r="C819" s="55" t="s">
        <v>530</v>
      </c>
      <c r="D819" s="55" t="s">
        <v>38</v>
      </c>
      <c r="E819" s="55" t="s">
        <v>1081</v>
      </c>
      <c r="F819" s="60">
        <v>2250</v>
      </c>
      <c r="G819" s="60">
        <f>2317.5-67.5+56</f>
        <v>2306</v>
      </c>
      <c r="H819" s="60">
        <v>2235</v>
      </c>
      <c r="I819" s="370">
        <f t="shared" si="103"/>
        <v>99.33333333333333</v>
      </c>
      <c r="J819" s="370">
        <f t="shared" si="104"/>
        <v>96.92107545533392</v>
      </c>
    </row>
    <row r="820" spans="1:10" ht="36">
      <c r="A820" s="57" t="s">
        <v>928</v>
      </c>
      <c r="B820" s="55" t="s">
        <v>519</v>
      </c>
      <c r="C820" s="55" t="s">
        <v>530</v>
      </c>
      <c r="D820" s="55" t="s">
        <v>39</v>
      </c>
      <c r="E820" s="55" t="s">
        <v>920</v>
      </c>
      <c r="F820" s="153">
        <f>F821+F823</f>
        <v>32.4</v>
      </c>
      <c r="G820" s="153">
        <f>G821+G823</f>
        <v>605.5</v>
      </c>
      <c r="H820" s="153">
        <f>H821+H823</f>
        <v>490.5</v>
      </c>
      <c r="I820" s="370">
        <f t="shared" si="103"/>
        <v>1513.888888888889</v>
      </c>
      <c r="J820" s="370">
        <f t="shared" si="104"/>
        <v>81.0074318744839</v>
      </c>
    </row>
    <row r="821" spans="1:10" ht="24">
      <c r="A821" s="57" t="s">
        <v>21</v>
      </c>
      <c r="B821" s="55" t="s">
        <v>519</v>
      </c>
      <c r="C821" s="55" t="s">
        <v>530</v>
      </c>
      <c r="D821" s="55" t="s">
        <v>39</v>
      </c>
      <c r="E821" s="55" t="s">
        <v>528</v>
      </c>
      <c r="F821" s="153">
        <f>F822</f>
        <v>0.9</v>
      </c>
      <c r="G821" s="153">
        <f>G822</f>
        <v>1</v>
      </c>
      <c r="H821" s="153">
        <f>H822</f>
        <v>0</v>
      </c>
      <c r="I821" s="370">
        <f t="shared" si="103"/>
        <v>0</v>
      </c>
      <c r="J821" s="370">
        <f t="shared" si="104"/>
        <v>0</v>
      </c>
    </row>
    <row r="822" spans="1:10" ht="36">
      <c r="A822" s="57" t="s">
        <v>22</v>
      </c>
      <c r="B822" s="55" t="s">
        <v>519</v>
      </c>
      <c r="C822" s="55" t="s">
        <v>530</v>
      </c>
      <c r="D822" s="55" t="s">
        <v>39</v>
      </c>
      <c r="E822" s="55" t="s">
        <v>1486</v>
      </c>
      <c r="F822" s="60">
        <v>0.9</v>
      </c>
      <c r="G822" s="60">
        <v>1</v>
      </c>
      <c r="H822" s="60">
        <v>0</v>
      </c>
      <c r="I822" s="370">
        <f t="shared" si="103"/>
        <v>0</v>
      </c>
      <c r="J822" s="370">
        <f t="shared" si="104"/>
        <v>0</v>
      </c>
    </row>
    <row r="823" spans="1:10" ht="24">
      <c r="A823" s="126" t="s">
        <v>767</v>
      </c>
      <c r="B823" s="55" t="s">
        <v>519</v>
      </c>
      <c r="C823" s="55" t="s">
        <v>530</v>
      </c>
      <c r="D823" s="55" t="s">
        <v>39</v>
      </c>
      <c r="E823" s="55" t="s">
        <v>768</v>
      </c>
      <c r="F823" s="153">
        <f>F824</f>
        <v>31.5</v>
      </c>
      <c r="G823" s="153">
        <f>G824</f>
        <v>604.5</v>
      </c>
      <c r="H823" s="153">
        <f>H824</f>
        <v>490.5</v>
      </c>
      <c r="I823" s="370">
        <f t="shared" si="103"/>
        <v>1557.142857142857</v>
      </c>
      <c r="J823" s="370">
        <f t="shared" si="104"/>
        <v>81.14143920595534</v>
      </c>
    </row>
    <row r="824" spans="1:10" ht="24">
      <c r="A824" s="62" t="s">
        <v>1080</v>
      </c>
      <c r="B824" s="55" t="s">
        <v>519</v>
      </c>
      <c r="C824" s="55" t="s">
        <v>530</v>
      </c>
      <c r="D824" s="55" t="s">
        <v>39</v>
      </c>
      <c r="E824" s="55" t="s">
        <v>1081</v>
      </c>
      <c r="F824" s="60">
        <v>31.5</v>
      </c>
      <c r="G824" s="60">
        <f>196.5+408</f>
        <v>604.5</v>
      </c>
      <c r="H824" s="60">
        <v>490.5</v>
      </c>
      <c r="I824" s="370">
        <f t="shared" si="103"/>
        <v>1557.142857142857</v>
      </c>
      <c r="J824" s="370">
        <f t="shared" si="104"/>
        <v>81.14143920595534</v>
      </c>
    </row>
    <row r="825" spans="1:10" ht="24">
      <c r="A825" s="57" t="s">
        <v>801</v>
      </c>
      <c r="B825" s="55" t="s">
        <v>519</v>
      </c>
      <c r="C825" s="55" t="s">
        <v>530</v>
      </c>
      <c r="D825" s="55" t="s">
        <v>40</v>
      </c>
      <c r="E825" s="55" t="s">
        <v>920</v>
      </c>
      <c r="F825" s="153">
        <f aca="true" t="shared" si="105" ref="F825:H826">F826</f>
        <v>300</v>
      </c>
      <c r="G825" s="153">
        <f t="shared" si="105"/>
        <v>300</v>
      </c>
      <c r="H825" s="153">
        <f t="shared" si="105"/>
        <v>48</v>
      </c>
      <c r="I825" s="370">
        <f aca="true" t="shared" si="106" ref="I825:I861">H825/F825*100</f>
        <v>16</v>
      </c>
      <c r="J825" s="370">
        <f aca="true" t="shared" si="107" ref="J825:J873">H825/G825*100</f>
        <v>16</v>
      </c>
    </row>
    <row r="826" spans="1:10" ht="24">
      <c r="A826" s="126" t="s">
        <v>767</v>
      </c>
      <c r="B826" s="55" t="s">
        <v>519</v>
      </c>
      <c r="C826" s="55" t="s">
        <v>530</v>
      </c>
      <c r="D826" s="55" t="s">
        <v>40</v>
      </c>
      <c r="E826" s="55" t="s">
        <v>768</v>
      </c>
      <c r="F826" s="153">
        <f t="shared" si="105"/>
        <v>300</v>
      </c>
      <c r="G826" s="153">
        <f t="shared" si="105"/>
        <v>300</v>
      </c>
      <c r="H826" s="153">
        <f t="shared" si="105"/>
        <v>48</v>
      </c>
      <c r="I826" s="370">
        <f t="shared" si="106"/>
        <v>16</v>
      </c>
      <c r="J826" s="370">
        <f t="shared" si="107"/>
        <v>16</v>
      </c>
    </row>
    <row r="827" spans="1:10" ht="24">
      <c r="A827" s="62" t="s">
        <v>1080</v>
      </c>
      <c r="B827" s="55" t="s">
        <v>519</v>
      </c>
      <c r="C827" s="55" t="s">
        <v>530</v>
      </c>
      <c r="D827" s="55" t="s">
        <v>40</v>
      </c>
      <c r="E827" s="55" t="s">
        <v>1081</v>
      </c>
      <c r="F827" s="60">
        <v>300</v>
      </c>
      <c r="G827" s="60">
        <v>300</v>
      </c>
      <c r="H827" s="60">
        <v>48</v>
      </c>
      <c r="I827" s="370">
        <f t="shared" si="106"/>
        <v>16</v>
      </c>
      <c r="J827" s="370">
        <f t="shared" si="107"/>
        <v>16</v>
      </c>
    </row>
    <row r="828" spans="1:10" ht="36.75" customHeight="1">
      <c r="A828" s="57" t="s">
        <v>618</v>
      </c>
      <c r="B828" s="55" t="s">
        <v>519</v>
      </c>
      <c r="C828" s="55" t="s">
        <v>530</v>
      </c>
      <c r="D828" s="55" t="s">
        <v>41</v>
      </c>
      <c r="E828" s="55" t="s">
        <v>920</v>
      </c>
      <c r="F828" s="153">
        <f>F829+F831</f>
        <v>1000</v>
      </c>
      <c r="G828" s="153">
        <f>G829+G831</f>
        <v>5060.9</v>
      </c>
      <c r="H828" s="153">
        <f>H829+H831</f>
        <v>4470.6</v>
      </c>
      <c r="I828" s="370">
        <f t="shared" si="106"/>
        <v>447.06</v>
      </c>
      <c r="J828" s="370">
        <f t="shared" si="107"/>
        <v>88.33606670750264</v>
      </c>
    </row>
    <row r="829" spans="1:10" ht="36.75" customHeight="1">
      <c r="A829" s="57" t="s">
        <v>21</v>
      </c>
      <c r="B829" s="55" t="s">
        <v>519</v>
      </c>
      <c r="C829" s="55" t="s">
        <v>530</v>
      </c>
      <c r="D829" s="55" t="s">
        <v>41</v>
      </c>
      <c r="E829" s="55" t="s">
        <v>528</v>
      </c>
      <c r="F829" s="153">
        <f>F830</f>
        <v>20</v>
      </c>
      <c r="G829" s="153">
        <f>G830</f>
        <v>20</v>
      </c>
      <c r="H829" s="153">
        <f>H830</f>
        <v>3.6</v>
      </c>
      <c r="I829" s="370">
        <f t="shared" si="106"/>
        <v>18</v>
      </c>
      <c r="J829" s="370">
        <f t="shared" si="107"/>
        <v>18</v>
      </c>
    </row>
    <row r="830" spans="1:10" ht="36.75" customHeight="1">
      <c r="A830" s="57" t="s">
        <v>22</v>
      </c>
      <c r="B830" s="55" t="s">
        <v>519</v>
      </c>
      <c r="C830" s="55" t="s">
        <v>530</v>
      </c>
      <c r="D830" s="55" t="s">
        <v>41</v>
      </c>
      <c r="E830" s="55" t="s">
        <v>1486</v>
      </c>
      <c r="F830" s="60">
        <v>20</v>
      </c>
      <c r="G830" s="60">
        <v>20</v>
      </c>
      <c r="H830" s="60">
        <v>3.6</v>
      </c>
      <c r="I830" s="370">
        <f t="shared" si="106"/>
        <v>18</v>
      </c>
      <c r="J830" s="370">
        <f t="shared" si="107"/>
        <v>18</v>
      </c>
    </row>
    <row r="831" spans="1:10" ht="26.25" customHeight="1">
      <c r="A831" s="126" t="s">
        <v>767</v>
      </c>
      <c r="B831" s="55" t="s">
        <v>519</v>
      </c>
      <c r="C831" s="55" t="s">
        <v>530</v>
      </c>
      <c r="D831" s="55" t="s">
        <v>41</v>
      </c>
      <c r="E831" s="55" t="s">
        <v>768</v>
      </c>
      <c r="F831" s="153">
        <f>F832</f>
        <v>980</v>
      </c>
      <c r="G831" s="153">
        <f>G832</f>
        <v>5040.9</v>
      </c>
      <c r="H831" s="153">
        <f>H832</f>
        <v>4467</v>
      </c>
      <c r="I831" s="370">
        <f t="shared" si="106"/>
        <v>455.81632653061223</v>
      </c>
      <c r="J831" s="370">
        <f t="shared" si="107"/>
        <v>88.61512825090759</v>
      </c>
    </row>
    <row r="832" spans="1:10" ht="24.75" customHeight="1">
      <c r="A832" s="62" t="s">
        <v>1080</v>
      </c>
      <c r="B832" s="55" t="s">
        <v>519</v>
      </c>
      <c r="C832" s="55" t="s">
        <v>530</v>
      </c>
      <c r="D832" s="55" t="s">
        <v>41</v>
      </c>
      <c r="E832" s="55" t="s">
        <v>1081</v>
      </c>
      <c r="F832" s="60">
        <v>980</v>
      </c>
      <c r="G832" s="60">
        <v>5040.9</v>
      </c>
      <c r="H832" s="60">
        <v>4467</v>
      </c>
      <c r="I832" s="370">
        <f t="shared" si="106"/>
        <v>455.81632653061223</v>
      </c>
      <c r="J832" s="370">
        <f t="shared" si="107"/>
        <v>88.61512825090759</v>
      </c>
    </row>
    <row r="833" spans="1:10" ht="33" customHeight="1">
      <c r="A833" s="57" t="s">
        <v>942</v>
      </c>
      <c r="B833" s="55" t="s">
        <v>519</v>
      </c>
      <c r="C833" s="55" t="s">
        <v>530</v>
      </c>
      <c r="D833" s="55" t="s">
        <v>42</v>
      </c>
      <c r="E833" s="55" t="s">
        <v>768</v>
      </c>
      <c r="F833" s="153">
        <f>F834</f>
        <v>0</v>
      </c>
      <c r="G833" s="153">
        <f>G834</f>
        <v>421.9</v>
      </c>
      <c r="H833" s="153">
        <f>H834</f>
        <v>370.3</v>
      </c>
      <c r="I833" s="370"/>
      <c r="J833" s="370">
        <f t="shared" si="107"/>
        <v>87.7696136525243</v>
      </c>
    </row>
    <row r="834" spans="1:10" ht="33" customHeight="1">
      <c r="A834" s="62" t="s">
        <v>1080</v>
      </c>
      <c r="B834" s="55" t="s">
        <v>519</v>
      </c>
      <c r="C834" s="55" t="s">
        <v>530</v>
      </c>
      <c r="D834" s="55" t="s">
        <v>42</v>
      </c>
      <c r="E834" s="55" t="s">
        <v>1081</v>
      </c>
      <c r="F834" s="60">
        <v>0</v>
      </c>
      <c r="G834" s="60">
        <v>421.9</v>
      </c>
      <c r="H834" s="60">
        <v>370.3</v>
      </c>
      <c r="I834" s="370"/>
      <c r="J834" s="370">
        <f t="shared" si="107"/>
        <v>87.7696136525243</v>
      </c>
    </row>
    <row r="835" spans="1:10" ht="31.5" customHeight="1">
      <c r="A835" s="57" t="s">
        <v>943</v>
      </c>
      <c r="B835" s="55" t="s">
        <v>519</v>
      </c>
      <c r="C835" s="55" t="s">
        <v>530</v>
      </c>
      <c r="D835" s="55" t="s">
        <v>43</v>
      </c>
      <c r="E835" s="55" t="s">
        <v>920</v>
      </c>
      <c r="F835" s="153">
        <f>F836+F838</f>
        <v>3000</v>
      </c>
      <c r="G835" s="153">
        <f>G836+G838</f>
        <v>3000</v>
      </c>
      <c r="H835" s="153">
        <f>H836+H838</f>
        <v>2950.7</v>
      </c>
      <c r="I835" s="370">
        <f t="shared" si="106"/>
        <v>98.35666666666665</v>
      </c>
      <c r="J835" s="370">
        <f t="shared" si="107"/>
        <v>98.35666666666665</v>
      </c>
    </row>
    <row r="836" spans="1:10" ht="22.5" customHeight="1">
      <c r="A836" s="57" t="s">
        <v>21</v>
      </c>
      <c r="B836" s="55" t="s">
        <v>519</v>
      </c>
      <c r="C836" s="55" t="s">
        <v>530</v>
      </c>
      <c r="D836" s="55" t="s">
        <v>43</v>
      </c>
      <c r="E836" s="55" t="s">
        <v>528</v>
      </c>
      <c r="F836" s="153">
        <f>F837</f>
        <v>30</v>
      </c>
      <c r="G836" s="153">
        <f>G837</f>
        <v>50</v>
      </c>
      <c r="H836" s="153">
        <f>H837</f>
        <v>0.7</v>
      </c>
      <c r="I836" s="370">
        <f t="shared" si="106"/>
        <v>2.333333333333333</v>
      </c>
      <c r="J836" s="370">
        <f t="shared" si="107"/>
        <v>1.4</v>
      </c>
    </row>
    <row r="837" spans="1:10" ht="22.5" customHeight="1">
      <c r="A837" s="57" t="s">
        <v>22</v>
      </c>
      <c r="B837" s="55" t="s">
        <v>519</v>
      </c>
      <c r="C837" s="55" t="s">
        <v>530</v>
      </c>
      <c r="D837" s="55" t="s">
        <v>43</v>
      </c>
      <c r="E837" s="55" t="s">
        <v>1486</v>
      </c>
      <c r="F837" s="60">
        <v>30</v>
      </c>
      <c r="G837" s="60">
        <v>50</v>
      </c>
      <c r="H837" s="60">
        <v>0.7</v>
      </c>
      <c r="I837" s="370">
        <f t="shared" si="106"/>
        <v>2.333333333333333</v>
      </c>
      <c r="J837" s="370">
        <f t="shared" si="107"/>
        <v>1.4</v>
      </c>
    </row>
    <row r="838" spans="1:10" ht="22.5" customHeight="1">
      <c r="A838" s="126" t="s">
        <v>767</v>
      </c>
      <c r="B838" s="55" t="s">
        <v>519</v>
      </c>
      <c r="C838" s="55" t="s">
        <v>530</v>
      </c>
      <c r="D838" s="55" t="s">
        <v>43</v>
      </c>
      <c r="E838" s="55" t="s">
        <v>768</v>
      </c>
      <c r="F838" s="153">
        <f>F839</f>
        <v>2970</v>
      </c>
      <c r="G838" s="153">
        <f>G839</f>
        <v>2950</v>
      </c>
      <c r="H838" s="153">
        <f>H839</f>
        <v>2950</v>
      </c>
      <c r="I838" s="370">
        <f t="shared" si="106"/>
        <v>99.32659932659934</v>
      </c>
      <c r="J838" s="370">
        <f t="shared" si="107"/>
        <v>100</v>
      </c>
    </row>
    <row r="839" spans="1:10" ht="21" customHeight="1">
      <c r="A839" s="62" t="s">
        <v>1080</v>
      </c>
      <c r="B839" s="55" t="s">
        <v>519</v>
      </c>
      <c r="C839" s="55" t="s">
        <v>530</v>
      </c>
      <c r="D839" s="55" t="s">
        <v>43</v>
      </c>
      <c r="E839" s="55" t="s">
        <v>1081</v>
      </c>
      <c r="F839" s="60">
        <v>2970</v>
      </c>
      <c r="G839" s="60">
        <v>2950</v>
      </c>
      <c r="H839" s="60">
        <v>2950</v>
      </c>
      <c r="I839" s="370">
        <f t="shared" si="106"/>
        <v>99.32659932659934</v>
      </c>
      <c r="J839" s="370">
        <f t="shared" si="107"/>
        <v>100</v>
      </c>
    </row>
    <row r="840" spans="1:10" ht="84">
      <c r="A840" s="209" t="s">
        <v>44</v>
      </c>
      <c r="B840" s="55" t="s">
        <v>519</v>
      </c>
      <c r="C840" s="55" t="s">
        <v>530</v>
      </c>
      <c r="D840" s="55" t="s">
        <v>45</v>
      </c>
      <c r="E840" s="55" t="s">
        <v>920</v>
      </c>
      <c r="F840" s="153">
        <f aca="true" t="shared" si="108" ref="F840:H841">F841</f>
        <v>1270</v>
      </c>
      <c r="G840" s="153">
        <f t="shared" si="108"/>
        <v>1270</v>
      </c>
      <c r="H840" s="153">
        <f t="shared" si="108"/>
        <v>1269.7</v>
      </c>
      <c r="I840" s="370">
        <f t="shared" si="106"/>
        <v>99.97637795275591</v>
      </c>
      <c r="J840" s="370">
        <f t="shared" si="107"/>
        <v>99.97637795275591</v>
      </c>
    </row>
    <row r="841" spans="1:10" ht="24">
      <c r="A841" s="126" t="s">
        <v>767</v>
      </c>
      <c r="B841" s="55" t="s">
        <v>519</v>
      </c>
      <c r="C841" s="55" t="s">
        <v>530</v>
      </c>
      <c r="D841" s="55" t="s">
        <v>45</v>
      </c>
      <c r="E841" s="55" t="s">
        <v>768</v>
      </c>
      <c r="F841" s="153">
        <f t="shared" si="108"/>
        <v>1270</v>
      </c>
      <c r="G841" s="153">
        <f t="shared" si="108"/>
        <v>1270</v>
      </c>
      <c r="H841" s="153">
        <f t="shared" si="108"/>
        <v>1269.7</v>
      </c>
      <c r="I841" s="370">
        <f t="shared" si="106"/>
        <v>99.97637795275591</v>
      </c>
      <c r="J841" s="370">
        <f t="shared" si="107"/>
        <v>99.97637795275591</v>
      </c>
    </row>
    <row r="842" spans="1:10" ht="24">
      <c r="A842" s="209" t="s">
        <v>1079</v>
      </c>
      <c r="B842" s="55" t="s">
        <v>519</v>
      </c>
      <c r="C842" s="55" t="s">
        <v>530</v>
      </c>
      <c r="D842" s="55" t="s">
        <v>45</v>
      </c>
      <c r="E842" s="55" t="s">
        <v>1074</v>
      </c>
      <c r="F842" s="60">
        <v>1270</v>
      </c>
      <c r="G842" s="60">
        <v>1270</v>
      </c>
      <c r="H842" s="60">
        <v>1269.7</v>
      </c>
      <c r="I842" s="370">
        <f t="shared" si="106"/>
        <v>99.97637795275591</v>
      </c>
      <c r="J842" s="370">
        <f t="shared" si="107"/>
        <v>99.97637795275591</v>
      </c>
    </row>
    <row r="843" spans="1:10" ht="36">
      <c r="A843" s="57" t="s">
        <v>46</v>
      </c>
      <c r="B843" s="55" t="s">
        <v>519</v>
      </c>
      <c r="C843" s="55" t="s">
        <v>530</v>
      </c>
      <c r="D843" s="55" t="s">
        <v>47</v>
      </c>
      <c r="E843" s="55" t="s">
        <v>920</v>
      </c>
      <c r="F843" s="153">
        <f aca="true" t="shared" si="109" ref="F843:H844">F844</f>
        <v>4000</v>
      </c>
      <c r="G843" s="153">
        <f t="shared" si="109"/>
        <v>4000</v>
      </c>
      <c r="H843" s="153">
        <f t="shared" si="109"/>
        <v>3482.5</v>
      </c>
      <c r="I843" s="370">
        <f t="shared" si="106"/>
        <v>87.0625</v>
      </c>
      <c r="J843" s="370">
        <f t="shared" si="107"/>
        <v>87.0625</v>
      </c>
    </row>
    <row r="844" spans="1:10" ht="24">
      <c r="A844" s="126" t="s">
        <v>767</v>
      </c>
      <c r="B844" s="55" t="s">
        <v>519</v>
      </c>
      <c r="C844" s="55" t="s">
        <v>530</v>
      </c>
      <c r="D844" s="55" t="s">
        <v>47</v>
      </c>
      <c r="E844" s="55" t="s">
        <v>768</v>
      </c>
      <c r="F844" s="153">
        <f t="shared" si="109"/>
        <v>4000</v>
      </c>
      <c r="G844" s="153">
        <f t="shared" si="109"/>
        <v>4000</v>
      </c>
      <c r="H844" s="153">
        <f t="shared" si="109"/>
        <v>3482.5</v>
      </c>
      <c r="I844" s="370">
        <f t="shared" si="106"/>
        <v>87.0625</v>
      </c>
      <c r="J844" s="370">
        <f t="shared" si="107"/>
        <v>87.0625</v>
      </c>
    </row>
    <row r="845" spans="1:10" ht="24">
      <c r="A845" s="62" t="s">
        <v>1080</v>
      </c>
      <c r="B845" s="55" t="s">
        <v>519</v>
      </c>
      <c r="C845" s="55" t="s">
        <v>530</v>
      </c>
      <c r="D845" s="55" t="s">
        <v>47</v>
      </c>
      <c r="E845" s="55" t="s">
        <v>1081</v>
      </c>
      <c r="F845" s="60">
        <v>4000</v>
      </c>
      <c r="G845" s="60">
        <v>4000</v>
      </c>
      <c r="H845" s="60">
        <v>3482.5</v>
      </c>
      <c r="I845" s="370">
        <f t="shared" si="106"/>
        <v>87.0625</v>
      </c>
      <c r="J845" s="370">
        <f t="shared" si="107"/>
        <v>87.0625</v>
      </c>
    </row>
    <row r="846" spans="1:10" ht="48">
      <c r="A846" s="57" t="s">
        <v>48</v>
      </c>
      <c r="B846" s="55" t="s">
        <v>519</v>
      </c>
      <c r="C846" s="55" t="s">
        <v>530</v>
      </c>
      <c r="D846" s="55" t="s">
        <v>49</v>
      </c>
      <c r="E846" s="55" t="s">
        <v>920</v>
      </c>
      <c r="F846" s="153">
        <f aca="true" t="shared" si="110" ref="F846:H847">F847</f>
        <v>0</v>
      </c>
      <c r="G846" s="153">
        <f t="shared" si="110"/>
        <v>1462.3</v>
      </c>
      <c r="H846" s="153">
        <f t="shared" si="110"/>
        <v>1319.9</v>
      </c>
      <c r="I846" s="370"/>
      <c r="J846" s="370">
        <f t="shared" si="107"/>
        <v>90.26191615947481</v>
      </c>
    </row>
    <row r="847" spans="1:10" ht="24">
      <c r="A847" s="126" t="s">
        <v>767</v>
      </c>
      <c r="B847" s="55" t="s">
        <v>519</v>
      </c>
      <c r="C847" s="55" t="s">
        <v>530</v>
      </c>
      <c r="D847" s="55" t="s">
        <v>49</v>
      </c>
      <c r="E847" s="55" t="s">
        <v>768</v>
      </c>
      <c r="F847" s="153">
        <f t="shared" si="110"/>
        <v>0</v>
      </c>
      <c r="G847" s="153">
        <f t="shared" si="110"/>
        <v>1462.3</v>
      </c>
      <c r="H847" s="153">
        <f t="shared" si="110"/>
        <v>1319.9</v>
      </c>
      <c r="I847" s="370"/>
      <c r="J847" s="370">
        <f t="shared" si="107"/>
        <v>90.26191615947481</v>
      </c>
    </row>
    <row r="848" spans="1:10" ht="24">
      <c r="A848" s="62" t="s">
        <v>1080</v>
      </c>
      <c r="B848" s="55" t="s">
        <v>519</v>
      </c>
      <c r="C848" s="55" t="s">
        <v>530</v>
      </c>
      <c r="D848" s="55" t="s">
        <v>49</v>
      </c>
      <c r="E848" s="55" t="s">
        <v>1081</v>
      </c>
      <c r="F848" s="60">
        <v>0</v>
      </c>
      <c r="G848" s="60">
        <v>1462.3</v>
      </c>
      <c r="H848" s="60">
        <v>1319.9</v>
      </c>
      <c r="I848" s="370"/>
      <c r="J848" s="370">
        <f t="shared" si="107"/>
        <v>90.26191615947481</v>
      </c>
    </row>
    <row r="849" spans="1:10" ht="24">
      <c r="A849" s="57" t="s">
        <v>557</v>
      </c>
      <c r="B849" s="55" t="s">
        <v>519</v>
      </c>
      <c r="C849" s="55" t="s">
        <v>530</v>
      </c>
      <c r="D849" s="55" t="s">
        <v>50</v>
      </c>
      <c r="E849" s="55" t="s">
        <v>920</v>
      </c>
      <c r="F849" s="153">
        <f>F850+F852</f>
        <v>21058</v>
      </c>
      <c r="G849" s="153">
        <f>G850+G852</f>
        <v>24457.999999999996</v>
      </c>
      <c r="H849" s="153">
        <f>H850+H852</f>
        <v>24401.699999999997</v>
      </c>
      <c r="I849" s="370">
        <f t="shared" si="106"/>
        <v>115.87852597587613</v>
      </c>
      <c r="J849" s="370">
        <f t="shared" si="107"/>
        <v>99.7698094692943</v>
      </c>
    </row>
    <row r="850" spans="1:10" ht="24">
      <c r="A850" s="57" t="s">
        <v>21</v>
      </c>
      <c r="B850" s="55" t="s">
        <v>519</v>
      </c>
      <c r="C850" s="55" t="s">
        <v>530</v>
      </c>
      <c r="D850" s="55" t="s">
        <v>50</v>
      </c>
      <c r="E850" s="55" t="s">
        <v>528</v>
      </c>
      <c r="F850" s="153">
        <f>F851</f>
        <v>156.8</v>
      </c>
      <c r="G850" s="153">
        <f>G851</f>
        <v>182.00000000000003</v>
      </c>
      <c r="H850" s="153">
        <f>H851</f>
        <v>181.6</v>
      </c>
      <c r="I850" s="370">
        <f t="shared" si="106"/>
        <v>115.81632653061223</v>
      </c>
      <c r="J850" s="370">
        <f t="shared" si="107"/>
        <v>99.78021978021975</v>
      </c>
    </row>
    <row r="851" spans="1:10" ht="36">
      <c r="A851" s="57" t="s">
        <v>22</v>
      </c>
      <c r="B851" s="55" t="s">
        <v>519</v>
      </c>
      <c r="C851" s="55" t="s">
        <v>530</v>
      </c>
      <c r="D851" s="55" t="s">
        <v>50</v>
      </c>
      <c r="E851" s="55" t="s">
        <v>1486</v>
      </c>
      <c r="F851" s="60">
        <f>156.8</f>
        <v>156.8</v>
      </c>
      <c r="G851" s="60">
        <f>156.8+17.9-0.1+7.4</f>
        <v>182.00000000000003</v>
      </c>
      <c r="H851" s="60">
        <v>181.6</v>
      </c>
      <c r="I851" s="370">
        <f t="shared" si="106"/>
        <v>115.81632653061223</v>
      </c>
      <c r="J851" s="370">
        <f t="shared" si="107"/>
        <v>99.78021978021975</v>
      </c>
    </row>
    <row r="852" spans="1:10" ht="24">
      <c r="A852" s="126" t="s">
        <v>767</v>
      </c>
      <c r="B852" s="55" t="s">
        <v>519</v>
      </c>
      <c r="C852" s="55" t="s">
        <v>530</v>
      </c>
      <c r="D852" s="55" t="s">
        <v>50</v>
      </c>
      <c r="E852" s="55" t="s">
        <v>768</v>
      </c>
      <c r="F852" s="153">
        <f>F853</f>
        <v>20901.2</v>
      </c>
      <c r="G852" s="153">
        <f>G853</f>
        <v>24275.999999999996</v>
      </c>
      <c r="H852" s="153">
        <f>H853</f>
        <v>24220.1</v>
      </c>
      <c r="I852" s="370">
        <f t="shared" si="106"/>
        <v>115.87899259372666</v>
      </c>
      <c r="J852" s="370">
        <f t="shared" si="107"/>
        <v>99.76973142198057</v>
      </c>
    </row>
    <row r="853" spans="1:10" ht="24">
      <c r="A853" s="209" t="s">
        <v>1079</v>
      </c>
      <c r="B853" s="55" t="s">
        <v>519</v>
      </c>
      <c r="C853" s="55" t="s">
        <v>530</v>
      </c>
      <c r="D853" s="55" t="s">
        <v>50</v>
      </c>
      <c r="E853" s="55" t="s">
        <v>1074</v>
      </c>
      <c r="F853" s="60">
        <v>20901.2</v>
      </c>
      <c r="G853" s="60">
        <f>21058-156.8+2382.1+0.1+992.6</f>
        <v>24275.999999999996</v>
      </c>
      <c r="H853" s="60">
        <v>24220.1</v>
      </c>
      <c r="I853" s="370">
        <f t="shared" si="106"/>
        <v>115.87899259372666</v>
      </c>
      <c r="J853" s="370">
        <f t="shared" si="107"/>
        <v>99.76973142198057</v>
      </c>
    </row>
    <row r="854" spans="1:10" ht="34.5" customHeight="1">
      <c r="A854" s="57" t="s">
        <v>51</v>
      </c>
      <c r="B854" s="55" t="s">
        <v>519</v>
      </c>
      <c r="C854" s="55" t="s">
        <v>530</v>
      </c>
      <c r="D854" s="55" t="s">
        <v>52</v>
      </c>
      <c r="E854" s="55"/>
      <c r="F854" s="153">
        <f>F855</f>
        <v>500</v>
      </c>
      <c r="G854" s="153">
        <f>G855</f>
        <v>500</v>
      </c>
      <c r="H854" s="153">
        <f>H855</f>
        <v>500</v>
      </c>
      <c r="I854" s="370">
        <f t="shared" si="106"/>
        <v>100</v>
      </c>
      <c r="J854" s="370">
        <f t="shared" si="107"/>
        <v>100</v>
      </c>
    </row>
    <row r="855" spans="1:10" ht="24">
      <c r="A855" s="57" t="s">
        <v>53</v>
      </c>
      <c r="B855" s="55" t="s">
        <v>519</v>
      </c>
      <c r="C855" s="55" t="s">
        <v>530</v>
      </c>
      <c r="D855" s="55" t="s">
        <v>54</v>
      </c>
      <c r="E855" s="55" t="s">
        <v>920</v>
      </c>
      <c r="F855" s="153">
        <f>F857</f>
        <v>500</v>
      </c>
      <c r="G855" s="153">
        <f>G857</f>
        <v>500</v>
      </c>
      <c r="H855" s="153">
        <f>H857</f>
        <v>500</v>
      </c>
      <c r="I855" s="370">
        <f t="shared" si="106"/>
        <v>100</v>
      </c>
      <c r="J855" s="370">
        <f t="shared" si="107"/>
        <v>100</v>
      </c>
    </row>
    <row r="856" spans="1:10" ht="24">
      <c r="A856" s="404" t="s">
        <v>767</v>
      </c>
      <c r="B856" s="55" t="s">
        <v>519</v>
      </c>
      <c r="C856" s="55" t="s">
        <v>530</v>
      </c>
      <c r="D856" s="55" t="s">
        <v>54</v>
      </c>
      <c r="E856" s="55" t="s">
        <v>768</v>
      </c>
      <c r="F856" s="153">
        <f>F857</f>
        <v>500</v>
      </c>
      <c r="G856" s="153">
        <f>G857</f>
        <v>500</v>
      </c>
      <c r="H856" s="153">
        <f>H857</f>
        <v>500</v>
      </c>
      <c r="I856" s="370">
        <f t="shared" si="106"/>
        <v>100</v>
      </c>
      <c r="J856" s="370">
        <f t="shared" si="107"/>
        <v>100</v>
      </c>
    </row>
    <row r="857" spans="1:10" ht="24">
      <c r="A857" s="62" t="s">
        <v>1080</v>
      </c>
      <c r="B857" s="55" t="s">
        <v>519</v>
      </c>
      <c r="C857" s="55" t="s">
        <v>530</v>
      </c>
      <c r="D857" s="55" t="s">
        <v>54</v>
      </c>
      <c r="E857" s="55" t="s">
        <v>1081</v>
      </c>
      <c r="F857" s="60">
        <v>500</v>
      </c>
      <c r="G857" s="60">
        <v>500</v>
      </c>
      <c r="H857" s="60">
        <v>500</v>
      </c>
      <c r="I857" s="370">
        <f t="shared" si="106"/>
        <v>100</v>
      </c>
      <c r="J857" s="370">
        <f t="shared" si="107"/>
        <v>100</v>
      </c>
    </row>
    <row r="858" spans="1:10" ht="24">
      <c r="A858" s="56" t="s">
        <v>55</v>
      </c>
      <c r="B858" s="55" t="s">
        <v>519</v>
      </c>
      <c r="C858" s="55" t="s">
        <v>530</v>
      </c>
      <c r="D858" s="55" t="s">
        <v>56</v>
      </c>
      <c r="E858" s="55"/>
      <c r="F858" s="159">
        <f>F859+F874+F877+F880</f>
        <v>4325.3</v>
      </c>
      <c r="G858" s="159">
        <f>G859+G874+G877+G880</f>
        <v>12711.400000000001</v>
      </c>
      <c r="H858" s="159">
        <f>H859+H874+H877+H880</f>
        <v>7937.4</v>
      </c>
      <c r="I858" s="370">
        <f t="shared" si="106"/>
        <v>183.51097033731762</v>
      </c>
      <c r="J858" s="370">
        <f t="shared" si="107"/>
        <v>62.443161256824574</v>
      </c>
    </row>
    <row r="859" spans="1:10" ht="36">
      <c r="A859" s="62" t="s">
        <v>57</v>
      </c>
      <c r="B859" s="55" t="s">
        <v>519</v>
      </c>
      <c r="C859" s="55" t="s">
        <v>530</v>
      </c>
      <c r="D859" s="55" t="s">
        <v>58</v>
      </c>
      <c r="E859" s="55" t="s">
        <v>920</v>
      </c>
      <c r="F859" s="159">
        <f>F861+F862+F865</f>
        <v>3200</v>
      </c>
      <c r="G859" s="159">
        <f>G861+G862+G865</f>
        <v>9023.2</v>
      </c>
      <c r="H859" s="159">
        <f>H861+H862+H865</f>
        <v>7937.4</v>
      </c>
      <c r="I859" s="370">
        <f t="shared" si="106"/>
        <v>248.04375</v>
      </c>
      <c r="J859" s="370">
        <f t="shared" si="107"/>
        <v>87.96657505097969</v>
      </c>
    </row>
    <row r="860" spans="1:10" ht="24">
      <c r="A860" s="126" t="s">
        <v>767</v>
      </c>
      <c r="B860" s="55" t="s">
        <v>519</v>
      </c>
      <c r="C860" s="55" t="s">
        <v>530</v>
      </c>
      <c r="D860" s="55" t="s">
        <v>59</v>
      </c>
      <c r="E860" s="55" t="s">
        <v>768</v>
      </c>
      <c r="F860" s="159">
        <f>F861</f>
        <v>3200</v>
      </c>
      <c r="G860" s="159">
        <f>G861</f>
        <v>3911</v>
      </c>
      <c r="H860" s="159">
        <f>H861</f>
        <v>3390.6</v>
      </c>
      <c r="I860" s="370">
        <f t="shared" si="106"/>
        <v>105.95625</v>
      </c>
      <c r="J860" s="370">
        <f t="shared" si="107"/>
        <v>86.69394016875479</v>
      </c>
    </row>
    <row r="861" spans="1:10" ht="24">
      <c r="A861" s="57" t="s">
        <v>1079</v>
      </c>
      <c r="B861" s="55" t="s">
        <v>519</v>
      </c>
      <c r="C861" s="55" t="s">
        <v>530</v>
      </c>
      <c r="D861" s="55" t="s">
        <v>59</v>
      </c>
      <c r="E861" s="55" t="s">
        <v>1074</v>
      </c>
      <c r="F861" s="54">
        <v>3200</v>
      </c>
      <c r="G861" s="54">
        <f>3200+711</f>
        <v>3911</v>
      </c>
      <c r="H861" s="54">
        <v>3390.6</v>
      </c>
      <c r="I861" s="370">
        <f t="shared" si="106"/>
        <v>105.95625</v>
      </c>
      <c r="J861" s="370">
        <f t="shared" si="107"/>
        <v>86.69394016875479</v>
      </c>
    </row>
    <row r="862" spans="1:10" ht="63.75" customHeight="1">
      <c r="A862" s="57" t="s">
        <v>60</v>
      </c>
      <c r="B862" s="55" t="s">
        <v>519</v>
      </c>
      <c r="C862" s="55" t="s">
        <v>530</v>
      </c>
      <c r="D862" s="55" t="s">
        <v>61</v>
      </c>
      <c r="E862" s="55" t="s">
        <v>920</v>
      </c>
      <c r="F862" s="159">
        <f>F863+F871</f>
        <v>0</v>
      </c>
      <c r="G862" s="159">
        <f>G863+G871</f>
        <v>3647.6</v>
      </c>
      <c r="H862" s="159">
        <f>H863+H871</f>
        <v>3245.2999999999997</v>
      </c>
      <c r="I862" s="370"/>
      <c r="J862" s="370">
        <f t="shared" si="107"/>
        <v>88.9708301348832</v>
      </c>
    </row>
    <row r="863" spans="1:10" ht="24">
      <c r="A863" s="126" t="s">
        <v>767</v>
      </c>
      <c r="B863" s="55" t="s">
        <v>519</v>
      </c>
      <c r="C863" s="55" t="s">
        <v>530</v>
      </c>
      <c r="D863" s="55" t="s">
        <v>61</v>
      </c>
      <c r="E863" s="55" t="s">
        <v>768</v>
      </c>
      <c r="F863" s="159">
        <f>F864</f>
        <v>0</v>
      </c>
      <c r="G863" s="159">
        <f>G864</f>
        <v>967.6</v>
      </c>
      <c r="H863" s="159">
        <f>H864</f>
        <v>967.6</v>
      </c>
      <c r="I863" s="370"/>
      <c r="J863" s="370">
        <f t="shared" si="107"/>
        <v>100</v>
      </c>
    </row>
    <row r="864" spans="1:10" ht="24">
      <c r="A864" s="57" t="s">
        <v>1079</v>
      </c>
      <c r="B864" s="55" t="s">
        <v>519</v>
      </c>
      <c r="C864" s="55" t="s">
        <v>530</v>
      </c>
      <c r="D864" s="55" t="s">
        <v>61</v>
      </c>
      <c r="E864" s="55" t="s">
        <v>1074</v>
      </c>
      <c r="F864" s="54">
        <v>0</v>
      </c>
      <c r="G864" s="54">
        <v>967.6</v>
      </c>
      <c r="H864" s="54">
        <v>967.6</v>
      </c>
      <c r="I864" s="370"/>
      <c r="J864" s="370">
        <f t="shared" si="107"/>
        <v>100</v>
      </c>
    </row>
    <row r="865" spans="1:10" ht="55.5" customHeight="1">
      <c r="A865" s="57" t="s">
        <v>62</v>
      </c>
      <c r="B865" s="55" t="s">
        <v>519</v>
      </c>
      <c r="C865" s="55" t="s">
        <v>530</v>
      </c>
      <c r="D865" s="55" t="s">
        <v>851</v>
      </c>
      <c r="E865" s="55" t="s">
        <v>920</v>
      </c>
      <c r="F865" s="159">
        <f>F866+F869</f>
        <v>0</v>
      </c>
      <c r="G865" s="159">
        <f>G866+G869</f>
        <v>1464.6</v>
      </c>
      <c r="H865" s="159">
        <f>H866+H869</f>
        <v>1301.5</v>
      </c>
      <c r="I865" s="370"/>
      <c r="J865" s="370">
        <f t="shared" si="107"/>
        <v>88.8638536119077</v>
      </c>
    </row>
    <row r="866" spans="1:10" ht="24">
      <c r="A866" s="126" t="s">
        <v>767</v>
      </c>
      <c r="B866" s="55" t="s">
        <v>519</v>
      </c>
      <c r="C866" s="55" t="s">
        <v>530</v>
      </c>
      <c r="D866" s="55" t="s">
        <v>851</v>
      </c>
      <c r="E866" s="55" t="s">
        <v>768</v>
      </c>
      <c r="F866" s="159">
        <f>F867</f>
        <v>0</v>
      </c>
      <c r="G866" s="159">
        <f>G867</f>
        <v>381.6</v>
      </c>
      <c r="H866" s="159">
        <f>H867</f>
        <v>381.6</v>
      </c>
      <c r="I866" s="370"/>
      <c r="J866" s="370">
        <f t="shared" si="107"/>
        <v>100</v>
      </c>
    </row>
    <row r="867" spans="1:10" ht="24">
      <c r="A867" s="57" t="s">
        <v>1079</v>
      </c>
      <c r="B867" s="55" t="s">
        <v>519</v>
      </c>
      <c r="C867" s="55" t="s">
        <v>530</v>
      </c>
      <c r="D867" s="55" t="s">
        <v>851</v>
      </c>
      <c r="E867" s="55" t="s">
        <v>1074</v>
      </c>
      <c r="F867" s="54">
        <v>0</v>
      </c>
      <c r="G867" s="54">
        <v>381.6</v>
      </c>
      <c r="H867" s="54">
        <v>381.6</v>
      </c>
      <c r="I867" s="370"/>
      <c r="J867" s="370">
        <f t="shared" si="107"/>
        <v>100</v>
      </c>
    </row>
    <row r="868" spans="1:10" ht="48">
      <c r="A868" s="57" t="s">
        <v>852</v>
      </c>
      <c r="B868" s="55" t="s">
        <v>519</v>
      </c>
      <c r="C868" s="55" t="s">
        <v>530</v>
      </c>
      <c r="D868" s="55" t="s">
        <v>851</v>
      </c>
      <c r="E868" s="55" t="s">
        <v>920</v>
      </c>
      <c r="F868" s="153">
        <f aca="true" t="shared" si="111" ref="F868:H869">F869</f>
        <v>0</v>
      </c>
      <c r="G868" s="153">
        <f t="shared" si="111"/>
        <v>1083</v>
      </c>
      <c r="H868" s="153">
        <f t="shared" si="111"/>
        <v>919.9</v>
      </c>
      <c r="I868" s="370"/>
      <c r="J868" s="370">
        <f t="shared" si="107"/>
        <v>84.93998153277931</v>
      </c>
    </row>
    <row r="869" spans="1:10" ht="24">
      <c r="A869" s="126" t="s">
        <v>767</v>
      </c>
      <c r="B869" s="55" t="s">
        <v>519</v>
      </c>
      <c r="C869" s="55" t="s">
        <v>530</v>
      </c>
      <c r="D869" s="55" t="s">
        <v>851</v>
      </c>
      <c r="E869" s="55" t="s">
        <v>768</v>
      </c>
      <c r="F869" s="153">
        <f t="shared" si="111"/>
        <v>0</v>
      </c>
      <c r="G869" s="153">
        <f t="shared" si="111"/>
        <v>1083</v>
      </c>
      <c r="H869" s="153">
        <f t="shared" si="111"/>
        <v>919.9</v>
      </c>
      <c r="I869" s="370"/>
      <c r="J869" s="370">
        <f t="shared" si="107"/>
        <v>84.93998153277931</v>
      </c>
    </row>
    <row r="870" spans="1:10" ht="24">
      <c r="A870" s="57" t="s">
        <v>1079</v>
      </c>
      <c r="B870" s="55" t="s">
        <v>519</v>
      </c>
      <c r="C870" s="55" t="s">
        <v>530</v>
      </c>
      <c r="D870" s="55" t="s">
        <v>851</v>
      </c>
      <c r="E870" s="55" t="s">
        <v>1074</v>
      </c>
      <c r="F870" s="60">
        <v>0</v>
      </c>
      <c r="G870" s="60">
        <v>1083</v>
      </c>
      <c r="H870" s="60">
        <v>919.9</v>
      </c>
      <c r="I870" s="370"/>
      <c r="J870" s="370">
        <f t="shared" si="107"/>
        <v>84.93998153277931</v>
      </c>
    </row>
    <row r="871" spans="1:10" ht="48">
      <c r="A871" s="57" t="s">
        <v>853</v>
      </c>
      <c r="B871" s="55" t="s">
        <v>519</v>
      </c>
      <c r="C871" s="55" t="s">
        <v>530</v>
      </c>
      <c r="D871" s="55" t="s">
        <v>61</v>
      </c>
      <c r="E871" s="55" t="s">
        <v>920</v>
      </c>
      <c r="F871" s="153">
        <f aca="true" t="shared" si="112" ref="F871:H872">F872</f>
        <v>0</v>
      </c>
      <c r="G871" s="153">
        <f t="shared" si="112"/>
        <v>2680</v>
      </c>
      <c r="H871" s="153">
        <f t="shared" si="112"/>
        <v>2277.7</v>
      </c>
      <c r="I871" s="370"/>
      <c r="J871" s="370">
        <f t="shared" si="107"/>
        <v>84.98880597014924</v>
      </c>
    </row>
    <row r="872" spans="1:10" ht="24">
      <c r="A872" s="126" t="s">
        <v>767</v>
      </c>
      <c r="B872" s="55" t="s">
        <v>519</v>
      </c>
      <c r="C872" s="55" t="s">
        <v>530</v>
      </c>
      <c r="D872" s="55" t="s">
        <v>61</v>
      </c>
      <c r="E872" s="55" t="s">
        <v>768</v>
      </c>
      <c r="F872" s="153">
        <f t="shared" si="112"/>
        <v>0</v>
      </c>
      <c r="G872" s="153">
        <f t="shared" si="112"/>
        <v>2680</v>
      </c>
      <c r="H872" s="153">
        <f t="shared" si="112"/>
        <v>2277.7</v>
      </c>
      <c r="I872" s="370"/>
      <c r="J872" s="370">
        <f t="shared" si="107"/>
        <v>84.98880597014924</v>
      </c>
    </row>
    <row r="873" spans="1:10" ht="24">
      <c r="A873" s="57" t="s">
        <v>1079</v>
      </c>
      <c r="B873" s="55" t="s">
        <v>519</v>
      </c>
      <c r="C873" s="55" t="s">
        <v>530</v>
      </c>
      <c r="D873" s="55" t="s">
        <v>61</v>
      </c>
      <c r="E873" s="55" t="s">
        <v>1074</v>
      </c>
      <c r="F873" s="60">
        <v>0</v>
      </c>
      <c r="G873" s="60">
        <v>2680</v>
      </c>
      <c r="H873" s="60">
        <v>2277.7</v>
      </c>
      <c r="I873" s="370"/>
      <c r="J873" s="370">
        <f t="shared" si="107"/>
        <v>84.98880597014924</v>
      </c>
    </row>
    <row r="874" spans="1:10" ht="72">
      <c r="A874" s="62" t="s">
        <v>1101</v>
      </c>
      <c r="B874" s="55" t="s">
        <v>519</v>
      </c>
      <c r="C874" s="55" t="s">
        <v>530</v>
      </c>
      <c r="D874" s="55" t="s">
        <v>854</v>
      </c>
      <c r="E874" s="55"/>
      <c r="F874" s="153">
        <f aca="true" t="shared" si="113" ref="F874:H875">F875</f>
        <v>0</v>
      </c>
      <c r="G874" s="153">
        <f t="shared" si="113"/>
        <v>0</v>
      </c>
      <c r="H874" s="153">
        <f t="shared" si="113"/>
        <v>0</v>
      </c>
      <c r="I874" s="370"/>
      <c r="J874" s="370"/>
    </row>
    <row r="875" spans="1:10" ht="24">
      <c r="A875" s="208" t="s">
        <v>767</v>
      </c>
      <c r="B875" s="55" t="s">
        <v>519</v>
      </c>
      <c r="C875" s="55" t="s">
        <v>530</v>
      </c>
      <c r="D875" s="55" t="s">
        <v>854</v>
      </c>
      <c r="E875" s="55" t="s">
        <v>768</v>
      </c>
      <c r="F875" s="153">
        <f t="shared" si="113"/>
        <v>0</v>
      </c>
      <c r="G875" s="153">
        <f t="shared" si="113"/>
        <v>0</v>
      </c>
      <c r="H875" s="153">
        <f t="shared" si="113"/>
        <v>0</v>
      </c>
      <c r="I875" s="370"/>
      <c r="J875" s="370"/>
    </row>
    <row r="876" spans="1:10" ht="24">
      <c r="A876" s="208" t="s">
        <v>1079</v>
      </c>
      <c r="B876" s="55" t="s">
        <v>519</v>
      </c>
      <c r="C876" s="55" t="s">
        <v>530</v>
      </c>
      <c r="D876" s="55" t="s">
        <v>854</v>
      </c>
      <c r="E876" s="55" t="s">
        <v>1074</v>
      </c>
      <c r="F876" s="60">
        <f>1790.3-1790.3</f>
        <v>0</v>
      </c>
      <c r="G876" s="60">
        <f>1790.3-1790.3</f>
        <v>0</v>
      </c>
      <c r="H876" s="60">
        <f>1790.3-1790.3</f>
        <v>0</v>
      </c>
      <c r="I876" s="370"/>
      <c r="J876" s="370"/>
    </row>
    <row r="877" spans="1:10" ht="72">
      <c r="A877" s="57" t="s">
        <v>1102</v>
      </c>
      <c r="B877" s="55" t="s">
        <v>519</v>
      </c>
      <c r="C877" s="55" t="s">
        <v>530</v>
      </c>
      <c r="D877" s="55" t="s">
        <v>855</v>
      </c>
      <c r="E877" s="55"/>
      <c r="F877" s="153">
        <f aca="true" t="shared" si="114" ref="F877:H878">F878</f>
        <v>0</v>
      </c>
      <c r="G877" s="153">
        <f t="shared" si="114"/>
        <v>3688.2</v>
      </c>
      <c r="H877" s="153">
        <f t="shared" si="114"/>
        <v>0</v>
      </c>
      <c r="I877" s="370"/>
      <c r="J877" s="370">
        <f aca="true" t="shared" si="115" ref="J877:J931">H877/G877*100</f>
        <v>0</v>
      </c>
    </row>
    <row r="878" spans="1:10" ht="24">
      <c r="A878" s="208" t="s">
        <v>767</v>
      </c>
      <c r="B878" s="55" t="s">
        <v>519</v>
      </c>
      <c r="C878" s="55" t="s">
        <v>530</v>
      </c>
      <c r="D878" s="55" t="s">
        <v>855</v>
      </c>
      <c r="E878" s="55" t="s">
        <v>768</v>
      </c>
      <c r="F878" s="153">
        <f t="shared" si="114"/>
        <v>0</v>
      </c>
      <c r="G878" s="153">
        <f t="shared" si="114"/>
        <v>3688.2</v>
      </c>
      <c r="H878" s="153">
        <f t="shared" si="114"/>
        <v>0</v>
      </c>
      <c r="I878" s="370"/>
      <c r="J878" s="370">
        <f t="shared" si="115"/>
        <v>0</v>
      </c>
    </row>
    <row r="879" spans="1:10" ht="24">
      <c r="A879" s="208" t="s">
        <v>1079</v>
      </c>
      <c r="B879" s="55" t="s">
        <v>519</v>
      </c>
      <c r="C879" s="55" t="s">
        <v>530</v>
      </c>
      <c r="D879" s="55" t="s">
        <v>855</v>
      </c>
      <c r="E879" s="55" t="s">
        <v>1074</v>
      </c>
      <c r="F879" s="60">
        <v>0</v>
      </c>
      <c r="G879" s="60">
        <f>1790.3+895.2+1002.7</f>
        <v>3688.2</v>
      </c>
      <c r="H879" s="60">
        <v>0</v>
      </c>
      <c r="I879" s="370"/>
      <c r="J879" s="370">
        <f t="shared" si="115"/>
        <v>0</v>
      </c>
    </row>
    <row r="880" spans="1:10" ht="48">
      <c r="A880" s="57" t="s">
        <v>856</v>
      </c>
      <c r="B880" s="55" t="s">
        <v>519</v>
      </c>
      <c r="C880" s="55" t="s">
        <v>530</v>
      </c>
      <c r="D880" s="55" t="s">
        <v>857</v>
      </c>
      <c r="E880" s="55"/>
      <c r="F880" s="159">
        <f aca="true" t="shared" si="116" ref="F880:H882">F881</f>
        <v>1125.3</v>
      </c>
      <c r="G880" s="159">
        <f t="shared" si="116"/>
        <v>0</v>
      </c>
      <c r="H880" s="159">
        <f t="shared" si="116"/>
        <v>0</v>
      </c>
      <c r="I880" s="370">
        <f aca="true" t="shared" si="117" ref="I880:I931">H880/F880*100</f>
        <v>0</v>
      </c>
      <c r="J880" s="370"/>
    </row>
    <row r="881" spans="1:10" ht="24">
      <c r="A881" s="57" t="s">
        <v>858</v>
      </c>
      <c r="B881" s="55" t="s">
        <v>519</v>
      </c>
      <c r="C881" s="55" t="s">
        <v>530</v>
      </c>
      <c r="D881" s="55" t="s">
        <v>859</v>
      </c>
      <c r="E881" s="55" t="s">
        <v>920</v>
      </c>
      <c r="F881" s="153">
        <f t="shared" si="116"/>
        <v>1125.3</v>
      </c>
      <c r="G881" s="153">
        <f t="shared" si="116"/>
        <v>0</v>
      </c>
      <c r="H881" s="153">
        <f t="shared" si="116"/>
        <v>0</v>
      </c>
      <c r="I881" s="370">
        <f t="shared" si="117"/>
        <v>0</v>
      </c>
      <c r="J881" s="370"/>
    </row>
    <row r="882" spans="1:10" ht="24">
      <c r="A882" s="208" t="s">
        <v>767</v>
      </c>
      <c r="B882" s="55" t="s">
        <v>519</v>
      </c>
      <c r="C882" s="55" t="s">
        <v>530</v>
      </c>
      <c r="D882" s="55" t="s">
        <v>859</v>
      </c>
      <c r="E882" s="55" t="s">
        <v>768</v>
      </c>
      <c r="F882" s="153">
        <f t="shared" si="116"/>
        <v>1125.3</v>
      </c>
      <c r="G882" s="153">
        <f t="shared" si="116"/>
        <v>0</v>
      </c>
      <c r="H882" s="153">
        <f t="shared" si="116"/>
        <v>0</v>
      </c>
      <c r="I882" s="370">
        <f t="shared" si="117"/>
        <v>0</v>
      </c>
      <c r="J882" s="370"/>
    </row>
    <row r="883" spans="1:10" ht="24">
      <c r="A883" s="208" t="s">
        <v>1079</v>
      </c>
      <c r="B883" s="55" t="s">
        <v>519</v>
      </c>
      <c r="C883" s="55" t="s">
        <v>530</v>
      </c>
      <c r="D883" s="55" t="s">
        <v>859</v>
      </c>
      <c r="E883" s="55" t="s">
        <v>1074</v>
      </c>
      <c r="F883" s="60">
        <v>1125.3</v>
      </c>
      <c r="G883" s="60">
        <v>0</v>
      </c>
      <c r="H883" s="60">
        <v>0</v>
      </c>
      <c r="I883" s="370">
        <f t="shared" si="117"/>
        <v>0</v>
      </c>
      <c r="J883" s="370"/>
    </row>
    <row r="884" spans="1:10" ht="15.75">
      <c r="A884" s="61" t="s">
        <v>402</v>
      </c>
      <c r="B884" s="55" t="s">
        <v>519</v>
      </c>
      <c r="C884" s="55" t="s">
        <v>1151</v>
      </c>
      <c r="D884" s="181"/>
      <c r="E884" s="55"/>
      <c r="F884" s="153">
        <f>F885+F890+F893</f>
        <v>68259</v>
      </c>
      <c r="G884" s="153">
        <f>G885+G890+G893</f>
        <v>66455.5</v>
      </c>
      <c r="H884" s="153">
        <f>H885+H890+H893</f>
        <v>56357.4</v>
      </c>
      <c r="I884" s="370">
        <f t="shared" si="117"/>
        <v>82.5640574869248</v>
      </c>
      <c r="J884" s="370">
        <f t="shared" si="115"/>
        <v>84.80471894726547</v>
      </c>
    </row>
    <row r="885" spans="1:10" ht="24">
      <c r="A885" s="56" t="s">
        <v>1260</v>
      </c>
      <c r="B885" s="55" t="s">
        <v>519</v>
      </c>
      <c r="C885" s="55" t="s">
        <v>1151</v>
      </c>
      <c r="D885" s="182" t="s">
        <v>1228</v>
      </c>
      <c r="E885" s="55"/>
      <c r="F885" s="153">
        <f aca="true" t="shared" si="118" ref="F885:H888">F886</f>
        <v>38788</v>
      </c>
      <c r="G885" s="153">
        <f t="shared" si="118"/>
        <v>34255</v>
      </c>
      <c r="H885" s="153">
        <f t="shared" si="118"/>
        <v>24156.9</v>
      </c>
      <c r="I885" s="370">
        <f t="shared" si="117"/>
        <v>62.27931318964629</v>
      </c>
      <c r="J885" s="370">
        <f t="shared" si="115"/>
        <v>70.52079988322873</v>
      </c>
    </row>
    <row r="886" spans="1:10" ht="48">
      <c r="A886" s="57" t="s">
        <v>1229</v>
      </c>
      <c r="B886" s="55" t="s">
        <v>519</v>
      </c>
      <c r="C886" s="55" t="s">
        <v>1151</v>
      </c>
      <c r="D886" s="55" t="s">
        <v>265</v>
      </c>
      <c r="E886" s="55"/>
      <c r="F886" s="153">
        <f t="shared" si="118"/>
        <v>38788</v>
      </c>
      <c r="G886" s="153">
        <f t="shared" si="118"/>
        <v>34255</v>
      </c>
      <c r="H886" s="153">
        <f t="shared" si="118"/>
        <v>24156.9</v>
      </c>
      <c r="I886" s="370">
        <f t="shared" si="117"/>
        <v>62.27931318964629</v>
      </c>
      <c r="J886" s="370">
        <f t="shared" si="115"/>
        <v>70.52079988322873</v>
      </c>
    </row>
    <row r="887" spans="1:10" ht="72">
      <c r="A887" s="62" t="s">
        <v>860</v>
      </c>
      <c r="B887" s="55" t="s">
        <v>519</v>
      </c>
      <c r="C887" s="55" t="s">
        <v>1151</v>
      </c>
      <c r="D887" s="55" t="s">
        <v>861</v>
      </c>
      <c r="E887" s="55" t="s">
        <v>920</v>
      </c>
      <c r="F887" s="153">
        <f t="shared" si="118"/>
        <v>38788</v>
      </c>
      <c r="G887" s="153">
        <f t="shared" si="118"/>
        <v>34255</v>
      </c>
      <c r="H887" s="153">
        <f t="shared" si="118"/>
        <v>24156.9</v>
      </c>
      <c r="I887" s="370">
        <f t="shared" si="117"/>
        <v>62.27931318964629</v>
      </c>
      <c r="J887" s="370">
        <f t="shared" si="115"/>
        <v>70.52079988322873</v>
      </c>
    </row>
    <row r="888" spans="1:10" ht="24">
      <c r="A888" s="126" t="s">
        <v>767</v>
      </c>
      <c r="B888" s="55" t="s">
        <v>519</v>
      </c>
      <c r="C888" s="55" t="s">
        <v>1151</v>
      </c>
      <c r="D888" s="55" t="s">
        <v>861</v>
      </c>
      <c r="E888" s="55" t="s">
        <v>768</v>
      </c>
      <c r="F888" s="153">
        <f t="shared" si="118"/>
        <v>38788</v>
      </c>
      <c r="G888" s="153">
        <f t="shared" si="118"/>
        <v>34255</v>
      </c>
      <c r="H888" s="153">
        <f t="shared" si="118"/>
        <v>24156.9</v>
      </c>
      <c r="I888" s="370">
        <f t="shared" si="117"/>
        <v>62.27931318964629</v>
      </c>
      <c r="J888" s="370">
        <f t="shared" si="115"/>
        <v>70.52079988322873</v>
      </c>
    </row>
    <row r="889" spans="1:10" ht="24">
      <c r="A889" s="62" t="s">
        <v>1079</v>
      </c>
      <c r="B889" s="55" t="s">
        <v>519</v>
      </c>
      <c r="C889" s="55" t="s">
        <v>1151</v>
      </c>
      <c r="D889" s="55" t="s">
        <v>861</v>
      </c>
      <c r="E889" s="55" t="s">
        <v>1074</v>
      </c>
      <c r="F889" s="60">
        <f>38788</f>
        <v>38788</v>
      </c>
      <c r="G889" s="60">
        <f>38788-4027-506</f>
        <v>34255</v>
      </c>
      <c r="H889" s="60">
        <v>24156.9</v>
      </c>
      <c r="I889" s="370">
        <f t="shared" si="117"/>
        <v>62.27931318964629</v>
      </c>
      <c r="J889" s="370">
        <f t="shared" si="115"/>
        <v>70.52079988322873</v>
      </c>
    </row>
    <row r="890" spans="1:10" ht="24">
      <c r="A890" s="56" t="s">
        <v>862</v>
      </c>
      <c r="B890" s="55" t="s">
        <v>519</v>
      </c>
      <c r="C890" s="55" t="s">
        <v>1151</v>
      </c>
      <c r="D890" s="55" t="s">
        <v>863</v>
      </c>
      <c r="E890" s="55"/>
      <c r="F890" s="153">
        <f aca="true" t="shared" si="119" ref="F890:H891">F891</f>
        <v>29471</v>
      </c>
      <c r="G890" s="153">
        <f t="shared" si="119"/>
        <v>28167</v>
      </c>
      <c r="H890" s="153">
        <f t="shared" si="119"/>
        <v>28167</v>
      </c>
      <c r="I890" s="370">
        <f t="shared" si="117"/>
        <v>95.57531132299547</v>
      </c>
      <c r="J890" s="370">
        <f t="shared" si="115"/>
        <v>100</v>
      </c>
    </row>
    <row r="891" spans="1:10" ht="48">
      <c r="A891" s="209" t="s">
        <v>864</v>
      </c>
      <c r="B891" s="55" t="s">
        <v>519</v>
      </c>
      <c r="C891" s="55" t="s">
        <v>1151</v>
      </c>
      <c r="D891" s="55" t="s">
        <v>863</v>
      </c>
      <c r="E891" s="55" t="s">
        <v>768</v>
      </c>
      <c r="F891" s="153">
        <f t="shared" si="119"/>
        <v>29471</v>
      </c>
      <c r="G891" s="153">
        <f t="shared" si="119"/>
        <v>28167</v>
      </c>
      <c r="H891" s="153">
        <f t="shared" si="119"/>
        <v>28167</v>
      </c>
      <c r="I891" s="370">
        <f t="shared" si="117"/>
        <v>95.57531132299547</v>
      </c>
      <c r="J891" s="370">
        <f t="shared" si="115"/>
        <v>100</v>
      </c>
    </row>
    <row r="892" spans="1:10" ht="64.5" customHeight="1">
      <c r="A892" s="62" t="s">
        <v>865</v>
      </c>
      <c r="B892" s="55" t="s">
        <v>519</v>
      </c>
      <c r="C892" s="55" t="s">
        <v>1151</v>
      </c>
      <c r="D892" s="55" t="s">
        <v>863</v>
      </c>
      <c r="E892" s="55" t="s">
        <v>1074</v>
      </c>
      <c r="F892" s="60">
        <f>29471</f>
        <v>29471</v>
      </c>
      <c r="G892" s="60">
        <f>1727+29471-3031</f>
        <v>28167</v>
      </c>
      <c r="H892" s="60">
        <f>1727+29471-3031</f>
        <v>28167</v>
      </c>
      <c r="I892" s="370">
        <f t="shared" si="117"/>
        <v>95.57531132299547</v>
      </c>
      <c r="J892" s="370">
        <f t="shared" si="115"/>
        <v>100</v>
      </c>
    </row>
    <row r="893" spans="1:10" ht="36.75" customHeight="1">
      <c r="A893" s="56" t="s">
        <v>55</v>
      </c>
      <c r="B893" s="55" t="s">
        <v>519</v>
      </c>
      <c r="C893" s="55" t="s">
        <v>1151</v>
      </c>
      <c r="D893" s="182" t="s">
        <v>866</v>
      </c>
      <c r="E893" s="55"/>
      <c r="F893" s="153">
        <f aca="true" t="shared" si="120" ref="F893:H895">F894</f>
        <v>0</v>
      </c>
      <c r="G893" s="153">
        <f t="shared" si="120"/>
        <v>4033.5</v>
      </c>
      <c r="H893" s="153">
        <f t="shared" si="120"/>
        <v>4033.5</v>
      </c>
      <c r="I893" s="370"/>
      <c r="J893" s="370">
        <f t="shared" si="115"/>
        <v>100</v>
      </c>
    </row>
    <row r="894" spans="1:10" ht="50.25" customHeight="1">
      <c r="A894" s="209" t="s">
        <v>867</v>
      </c>
      <c r="B894" s="55" t="s">
        <v>519</v>
      </c>
      <c r="C894" s="55" t="s">
        <v>1151</v>
      </c>
      <c r="D894" s="182" t="s">
        <v>868</v>
      </c>
      <c r="E894" s="55" t="s">
        <v>920</v>
      </c>
      <c r="F894" s="153">
        <f t="shared" si="120"/>
        <v>0</v>
      </c>
      <c r="G894" s="153">
        <f t="shared" si="120"/>
        <v>4033.5</v>
      </c>
      <c r="H894" s="153">
        <f t="shared" si="120"/>
        <v>4033.5</v>
      </c>
      <c r="I894" s="370"/>
      <c r="J894" s="370">
        <f t="shared" si="115"/>
        <v>100</v>
      </c>
    </row>
    <row r="895" spans="1:10" ht="24">
      <c r="A895" s="405" t="s">
        <v>767</v>
      </c>
      <c r="B895" s="55" t="s">
        <v>519</v>
      </c>
      <c r="C895" s="55" t="s">
        <v>1151</v>
      </c>
      <c r="D895" s="182" t="s">
        <v>868</v>
      </c>
      <c r="E895" s="55" t="s">
        <v>768</v>
      </c>
      <c r="F895" s="153">
        <f t="shared" si="120"/>
        <v>0</v>
      </c>
      <c r="G895" s="153">
        <f t="shared" si="120"/>
        <v>4033.5</v>
      </c>
      <c r="H895" s="153">
        <f t="shared" si="120"/>
        <v>4033.5</v>
      </c>
      <c r="I895" s="370"/>
      <c r="J895" s="370">
        <f t="shared" si="115"/>
        <v>100</v>
      </c>
    </row>
    <row r="896" spans="1:10" ht="24">
      <c r="A896" s="62" t="s">
        <v>1079</v>
      </c>
      <c r="B896" s="55" t="s">
        <v>519</v>
      </c>
      <c r="C896" s="55" t="s">
        <v>1151</v>
      </c>
      <c r="D896" s="182" t="s">
        <v>868</v>
      </c>
      <c r="E896" s="55" t="s">
        <v>1074</v>
      </c>
      <c r="F896" s="60">
        <v>0</v>
      </c>
      <c r="G896" s="60">
        <f>8508.5-4475</f>
        <v>4033.5</v>
      </c>
      <c r="H896" s="60">
        <f>8508.5-4475</f>
        <v>4033.5</v>
      </c>
      <c r="I896" s="370"/>
      <c r="J896" s="370">
        <f t="shared" si="115"/>
        <v>100</v>
      </c>
    </row>
    <row r="897" spans="1:10" ht="15.75">
      <c r="A897" s="124" t="s">
        <v>436</v>
      </c>
      <c r="B897" s="69" t="s">
        <v>923</v>
      </c>
      <c r="C897" s="69"/>
      <c r="D897" s="69"/>
      <c r="E897" s="69"/>
      <c r="F897" s="152">
        <f>F898</f>
        <v>110684</v>
      </c>
      <c r="G897" s="152">
        <f>G898</f>
        <v>166854.4</v>
      </c>
      <c r="H897" s="152">
        <f>H898</f>
        <v>165191.5</v>
      </c>
      <c r="I897" s="370">
        <f t="shared" si="117"/>
        <v>149.2460518232084</v>
      </c>
      <c r="J897" s="370">
        <f t="shared" si="115"/>
        <v>99.0033825898508</v>
      </c>
    </row>
    <row r="898" spans="1:10" ht="15.75">
      <c r="A898" s="61" t="s">
        <v>787</v>
      </c>
      <c r="B898" s="55" t="s">
        <v>923</v>
      </c>
      <c r="C898" s="55" t="s">
        <v>1105</v>
      </c>
      <c r="D898" s="68"/>
      <c r="E898" s="68"/>
      <c r="F898" s="158">
        <f>F899+F923</f>
        <v>110684</v>
      </c>
      <c r="G898" s="158">
        <f>G899+G923</f>
        <v>166854.4</v>
      </c>
      <c r="H898" s="158">
        <f>H899+H923</f>
        <v>165191.5</v>
      </c>
      <c r="I898" s="370">
        <f t="shared" si="117"/>
        <v>149.2460518232084</v>
      </c>
      <c r="J898" s="370">
        <f t="shared" si="115"/>
        <v>99.0033825898508</v>
      </c>
    </row>
    <row r="899" spans="1:10" ht="24">
      <c r="A899" s="56" t="s">
        <v>869</v>
      </c>
      <c r="B899" s="55" t="s">
        <v>923</v>
      </c>
      <c r="C899" s="55" t="s">
        <v>1105</v>
      </c>
      <c r="D899" s="55" t="s">
        <v>590</v>
      </c>
      <c r="E899" s="55"/>
      <c r="F899" s="153">
        <f>F900</f>
        <v>110684</v>
      </c>
      <c r="G899" s="153">
        <f>G900</f>
        <v>166654.4</v>
      </c>
      <c r="H899" s="153">
        <f>H900</f>
        <v>164991.5</v>
      </c>
      <c r="I899" s="370">
        <f t="shared" si="117"/>
        <v>149.06535723320445</v>
      </c>
      <c r="J899" s="370">
        <f t="shared" si="115"/>
        <v>99.00218656093088</v>
      </c>
    </row>
    <row r="900" spans="1:10" ht="36">
      <c r="A900" s="57" t="s">
        <v>870</v>
      </c>
      <c r="B900" s="55" t="s">
        <v>923</v>
      </c>
      <c r="C900" s="55" t="s">
        <v>1105</v>
      </c>
      <c r="D900" s="55" t="s">
        <v>871</v>
      </c>
      <c r="E900" s="55"/>
      <c r="F900" s="153">
        <f>F901+F904+F919</f>
        <v>110684</v>
      </c>
      <c r="G900" s="153">
        <f>G901+G904+G919</f>
        <v>166654.4</v>
      </c>
      <c r="H900" s="153">
        <f>H901+H904+H919</f>
        <v>164991.5</v>
      </c>
      <c r="I900" s="370">
        <f t="shared" si="117"/>
        <v>149.06535723320445</v>
      </c>
      <c r="J900" s="370">
        <f t="shared" si="115"/>
        <v>99.00218656093088</v>
      </c>
    </row>
    <row r="901" spans="1:10" ht="84" customHeight="1">
      <c r="A901" s="237" t="s">
        <v>873</v>
      </c>
      <c r="B901" s="55" t="s">
        <v>923</v>
      </c>
      <c r="C901" s="55" t="s">
        <v>1105</v>
      </c>
      <c r="D901" s="55" t="s">
        <v>874</v>
      </c>
      <c r="E901" s="55"/>
      <c r="F901" s="153">
        <f aca="true" t="shared" si="121" ref="F901:H902">F902</f>
        <v>0</v>
      </c>
      <c r="G901" s="153">
        <f t="shared" si="121"/>
        <v>550</v>
      </c>
      <c r="H901" s="153">
        <f t="shared" si="121"/>
        <v>550</v>
      </c>
      <c r="I901" s="370"/>
      <c r="J901" s="370">
        <f t="shared" si="115"/>
        <v>100</v>
      </c>
    </row>
    <row r="902" spans="1:10" ht="36">
      <c r="A902" s="62" t="s">
        <v>139</v>
      </c>
      <c r="B902" s="55" t="s">
        <v>923</v>
      </c>
      <c r="C902" s="55" t="s">
        <v>1105</v>
      </c>
      <c r="D902" s="55" t="s">
        <v>874</v>
      </c>
      <c r="E902" s="55" t="s">
        <v>1454</v>
      </c>
      <c r="F902" s="153">
        <f t="shared" si="121"/>
        <v>0</v>
      </c>
      <c r="G902" s="153">
        <f t="shared" si="121"/>
        <v>550</v>
      </c>
      <c r="H902" s="153">
        <f t="shared" si="121"/>
        <v>550</v>
      </c>
      <c r="I902" s="370"/>
      <c r="J902" s="370">
        <f t="shared" si="115"/>
        <v>100</v>
      </c>
    </row>
    <row r="903" spans="1:10" ht="24">
      <c r="A903" s="57" t="s">
        <v>1355</v>
      </c>
      <c r="B903" s="55" t="s">
        <v>923</v>
      </c>
      <c r="C903" s="55" t="s">
        <v>1105</v>
      </c>
      <c r="D903" s="55" t="s">
        <v>874</v>
      </c>
      <c r="E903" s="55" t="s">
        <v>554</v>
      </c>
      <c r="F903" s="60">
        <v>0</v>
      </c>
      <c r="G903" s="60">
        <v>550</v>
      </c>
      <c r="H903" s="60">
        <v>550</v>
      </c>
      <c r="I903" s="370"/>
      <c r="J903" s="370">
        <f t="shared" si="115"/>
        <v>100</v>
      </c>
    </row>
    <row r="904" spans="1:10" ht="36">
      <c r="A904" s="62" t="s">
        <v>139</v>
      </c>
      <c r="B904" s="55" t="s">
        <v>923</v>
      </c>
      <c r="C904" s="55" t="s">
        <v>1105</v>
      </c>
      <c r="D904" s="55" t="s">
        <v>872</v>
      </c>
      <c r="E904" s="55" t="s">
        <v>1454</v>
      </c>
      <c r="F904" s="153">
        <f>F905+F910</f>
        <v>110684</v>
      </c>
      <c r="G904" s="153">
        <f>G905+G910</f>
        <v>129209.89999999998</v>
      </c>
      <c r="H904" s="153">
        <f>H905+H910</f>
        <v>127546.99999999999</v>
      </c>
      <c r="I904" s="370">
        <f t="shared" si="117"/>
        <v>115.23526435618517</v>
      </c>
      <c r="J904" s="370">
        <f t="shared" si="115"/>
        <v>98.71302431160461</v>
      </c>
    </row>
    <row r="905" spans="1:10" ht="24">
      <c r="A905" s="57" t="s">
        <v>141</v>
      </c>
      <c r="B905" s="55" t="s">
        <v>923</v>
      </c>
      <c r="C905" s="55" t="s">
        <v>1105</v>
      </c>
      <c r="D905" s="55" t="s">
        <v>872</v>
      </c>
      <c r="E905" s="55" t="s">
        <v>554</v>
      </c>
      <c r="F905" s="60">
        <f>30871</f>
        <v>30871</v>
      </c>
      <c r="G905" s="60">
        <f>30871-330+320-196+146.5+841+434+8-106.5+1470+61.5</f>
        <v>33519.5</v>
      </c>
      <c r="H905" s="60">
        <f>30958.2+H906+H907+H908+H909</f>
        <v>33481.2</v>
      </c>
      <c r="I905" s="370">
        <f t="shared" si="117"/>
        <v>108.45518447734119</v>
      </c>
      <c r="J905" s="370">
        <f t="shared" si="115"/>
        <v>99.88573815241874</v>
      </c>
    </row>
    <row r="906" spans="1:10" ht="36">
      <c r="A906" s="57" t="s">
        <v>467</v>
      </c>
      <c r="B906" s="55" t="s">
        <v>923</v>
      </c>
      <c r="C906" s="55" t="s">
        <v>1105</v>
      </c>
      <c r="D906" s="55" t="s">
        <v>872</v>
      </c>
      <c r="E906" s="55" t="s">
        <v>554</v>
      </c>
      <c r="F906" s="60">
        <f>2000</f>
        <v>2000</v>
      </c>
      <c r="G906" s="60">
        <f>2000-330-196-237</f>
        <v>1237</v>
      </c>
      <c r="H906" s="60">
        <v>1232</v>
      </c>
      <c r="I906" s="370">
        <f t="shared" si="117"/>
        <v>61.6</v>
      </c>
      <c r="J906" s="370">
        <f t="shared" si="115"/>
        <v>99.59579628132579</v>
      </c>
    </row>
    <row r="907" spans="1:10" ht="36">
      <c r="A907" s="57" t="s">
        <v>875</v>
      </c>
      <c r="B907" s="55" t="s">
        <v>923</v>
      </c>
      <c r="C907" s="55" t="s">
        <v>1105</v>
      </c>
      <c r="D907" s="55" t="s">
        <v>872</v>
      </c>
      <c r="E907" s="55" t="s">
        <v>554</v>
      </c>
      <c r="F907" s="60">
        <v>0</v>
      </c>
      <c r="G907" s="60">
        <f>146.5+841</f>
        <v>987.5</v>
      </c>
      <c r="H907" s="60">
        <v>985.3</v>
      </c>
      <c r="I907" s="370"/>
      <c r="J907" s="370">
        <f t="shared" si="115"/>
        <v>99.77721518987342</v>
      </c>
    </row>
    <row r="908" spans="1:10" ht="24">
      <c r="A908" s="57" t="s">
        <v>1268</v>
      </c>
      <c r="B908" s="55" t="s">
        <v>923</v>
      </c>
      <c r="C908" s="55" t="s">
        <v>1105</v>
      </c>
      <c r="D908" s="55" t="s">
        <v>872</v>
      </c>
      <c r="E908" s="55" t="s">
        <v>554</v>
      </c>
      <c r="F908" s="60">
        <v>0</v>
      </c>
      <c r="G908" s="60">
        <f>8+61.5</f>
        <v>69.5</v>
      </c>
      <c r="H908" s="60">
        <v>68.7</v>
      </c>
      <c r="I908" s="370"/>
      <c r="J908" s="370">
        <f t="shared" si="115"/>
        <v>98.84892086330936</v>
      </c>
    </row>
    <row r="909" spans="1:10" ht="36">
      <c r="A909" s="57" t="s">
        <v>876</v>
      </c>
      <c r="B909" s="55" t="s">
        <v>923</v>
      </c>
      <c r="C909" s="55" t="s">
        <v>1105</v>
      </c>
      <c r="D909" s="55" t="s">
        <v>872</v>
      </c>
      <c r="E909" s="55" t="s">
        <v>554</v>
      </c>
      <c r="F909" s="60">
        <v>0</v>
      </c>
      <c r="G909" s="60">
        <v>237</v>
      </c>
      <c r="H909" s="60">
        <v>237</v>
      </c>
      <c r="I909" s="370"/>
      <c r="J909" s="370">
        <f t="shared" si="115"/>
        <v>100</v>
      </c>
    </row>
    <row r="910" spans="1:10" ht="24">
      <c r="A910" s="57" t="s">
        <v>267</v>
      </c>
      <c r="B910" s="55" t="s">
        <v>923</v>
      </c>
      <c r="C910" s="55" t="s">
        <v>1105</v>
      </c>
      <c r="D910" s="55" t="s">
        <v>872</v>
      </c>
      <c r="E910" s="55" t="s">
        <v>446</v>
      </c>
      <c r="F910" s="60">
        <f>79813</f>
        <v>79813</v>
      </c>
      <c r="G910" s="60">
        <f>79813-708.1+454.9+99.2+154+330-454.9+1040+7612.9+2439.4+3550+196+133.5+519+291.5+220</f>
        <v>95690.39999999998</v>
      </c>
      <c r="H910" s="60">
        <f>79053.3+H911+H912+H913+H914+H915+H916+H917+H918</f>
        <v>94065.79999999999</v>
      </c>
      <c r="I910" s="370">
        <f t="shared" si="117"/>
        <v>117.8577424730307</v>
      </c>
      <c r="J910" s="370">
        <f t="shared" si="115"/>
        <v>98.3022330348708</v>
      </c>
    </row>
    <row r="911" spans="1:10" ht="36">
      <c r="A911" s="57" t="s">
        <v>467</v>
      </c>
      <c r="B911" s="55" t="s">
        <v>923</v>
      </c>
      <c r="C911" s="55" t="s">
        <v>1105</v>
      </c>
      <c r="D911" s="55" t="s">
        <v>872</v>
      </c>
      <c r="E911" s="55" t="s">
        <v>446</v>
      </c>
      <c r="F911" s="60">
        <v>0</v>
      </c>
      <c r="G911" s="60">
        <f>330+196</f>
        <v>526</v>
      </c>
      <c r="H911" s="60">
        <f>320.6+158.8</f>
        <v>479.40000000000003</v>
      </c>
      <c r="I911" s="370"/>
      <c r="J911" s="370">
        <f t="shared" si="115"/>
        <v>91.1406844106464</v>
      </c>
    </row>
    <row r="912" spans="1:10" ht="24">
      <c r="A912" s="57" t="s">
        <v>877</v>
      </c>
      <c r="B912" s="55" t="s">
        <v>923</v>
      </c>
      <c r="C912" s="55" t="s">
        <v>1105</v>
      </c>
      <c r="D912" s="55" t="s">
        <v>872</v>
      </c>
      <c r="E912" s="55" t="s">
        <v>446</v>
      </c>
      <c r="F912" s="60">
        <v>0</v>
      </c>
      <c r="G912" s="60">
        <v>99.2</v>
      </c>
      <c r="H912" s="60">
        <v>99.2</v>
      </c>
      <c r="I912" s="370"/>
      <c r="J912" s="370">
        <f t="shared" si="115"/>
        <v>100</v>
      </c>
    </row>
    <row r="913" spans="1:10" ht="24">
      <c r="A913" s="57" t="s">
        <v>174</v>
      </c>
      <c r="B913" s="55" t="s">
        <v>923</v>
      </c>
      <c r="C913" s="55" t="s">
        <v>1105</v>
      </c>
      <c r="D913" s="55" t="s">
        <v>872</v>
      </c>
      <c r="E913" s="55" t="s">
        <v>446</v>
      </c>
      <c r="F913" s="60">
        <v>0</v>
      </c>
      <c r="G913" s="60">
        <v>154</v>
      </c>
      <c r="H913" s="60">
        <v>154</v>
      </c>
      <c r="I913" s="370"/>
      <c r="J913" s="370">
        <f t="shared" si="115"/>
        <v>100</v>
      </c>
    </row>
    <row r="914" spans="1:10" ht="24">
      <c r="A914" s="57" t="s">
        <v>175</v>
      </c>
      <c r="B914" s="55" t="s">
        <v>923</v>
      </c>
      <c r="C914" s="55" t="s">
        <v>1105</v>
      </c>
      <c r="D914" s="55" t="s">
        <v>872</v>
      </c>
      <c r="E914" s="55" t="s">
        <v>446</v>
      </c>
      <c r="F914" s="60">
        <v>0</v>
      </c>
      <c r="G914" s="60">
        <f>1040-100</f>
        <v>940</v>
      </c>
      <c r="H914" s="60">
        <f>1040-100</f>
        <v>940</v>
      </c>
      <c r="I914" s="370"/>
      <c r="J914" s="370">
        <f t="shared" si="115"/>
        <v>100</v>
      </c>
    </row>
    <row r="915" spans="1:10" ht="48">
      <c r="A915" s="57" t="s">
        <v>176</v>
      </c>
      <c r="B915" s="55" t="s">
        <v>923</v>
      </c>
      <c r="C915" s="55" t="s">
        <v>1105</v>
      </c>
      <c r="D915" s="55" t="s">
        <v>872</v>
      </c>
      <c r="E915" s="55" t="s">
        <v>446</v>
      </c>
      <c r="F915" s="60">
        <v>0</v>
      </c>
      <c r="G915" s="60">
        <f>7612.9+2439.4+3550+291.5-1250</f>
        <v>12643.8</v>
      </c>
      <c r="H915" s="60">
        <v>12592.5</v>
      </c>
      <c r="I915" s="370"/>
      <c r="J915" s="370">
        <f t="shared" si="115"/>
        <v>99.59426754614911</v>
      </c>
    </row>
    <row r="916" spans="1:10" ht="36">
      <c r="A916" s="57" t="s">
        <v>875</v>
      </c>
      <c r="B916" s="55" t="s">
        <v>923</v>
      </c>
      <c r="C916" s="55" t="s">
        <v>1105</v>
      </c>
      <c r="D916" s="55" t="s">
        <v>872</v>
      </c>
      <c r="E916" s="55" t="s">
        <v>446</v>
      </c>
      <c r="F916" s="60">
        <v>0</v>
      </c>
      <c r="G916" s="60">
        <f>133.5+519</f>
        <v>652.5</v>
      </c>
      <c r="H916" s="60">
        <v>433.4</v>
      </c>
      <c r="I916" s="370"/>
      <c r="J916" s="370">
        <f t="shared" si="115"/>
        <v>66.42145593869732</v>
      </c>
    </row>
    <row r="917" spans="1:10" ht="36">
      <c r="A917" s="57" t="s">
        <v>177</v>
      </c>
      <c r="B917" s="55" t="s">
        <v>923</v>
      </c>
      <c r="C917" s="55" t="s">
        <v>1105</v>
      </c>
      <c r="D917" s="55" t="s">
        <v>872</v>
      </c>
      <c r="E917" s="55" t="s">
        <v>446</v>
      </c>
      <c r="F917" s="60">
        <v>0</v>
      </c>
      <c r="G917" s="60">
        <v>220</v>
      </c>
      <c r="H917" s="60">
        <v>220</v>
      </c>
      <c r="I917" s="370"/>
      <c r="J917" s="370">
        <f t="shared" si="115"/>
        <v>100</v>
      </c>
    </row>
    <row r="918" spans="1:10" ht="24">
      <c r="A918" s="57" t="s">
        <v>1268</v>
      </c>
      <c r="B918" s="55" t="s">
        <v>923</v>
      </c>
      <c r="C918" s="55" t="s">
        <v>1105</v>
      </c>
      <c r="D918" s="55" t="s">
        <v>872</v>
      </c>
      <c r="E918" s="55" t="s">
        <v>446</v>
      </c>
      <c r="F918" s="60">
        <v>0</v>
      </c>
      <c r="G918" s="60">
        <v>98</v>
      </c>
      <c r="H918" s="60">
        <v>94</v>
      </c>
      <c r="I918" s="370"/>
      <c r="J918" s="370">
        <f t="shared" si="115"/>
        <v>95.91836734693877</v>
      </c>
    </row>
    <row r="919" spans="1:10" ht="36">
      <c r="A919" s="62" t="s">
        <v>154</v>
      </c>
      <c r="B919" s="55" t="s">
        <v>923</v>
      </c>
      <c r="C919" s="55" t="s">
        <v>1105</v>
      </c>
      <c r="D919" s="55" t="s">
        <v>178</v>
      </c>
      <c r="E919" s="55" t="s">
        <v>552</v>
      </c>
      <c r="F919" s="153">
        <f>F920</f>
        <v>0</v>
      </c>
      <c r="G919" s="153">
        <f>G920</f>
        <v>36894.50000000001</v>
      </c>
      <c r="H919" s="153">
        <f>H920</f>
        <v>36894.50000000001</v>
      </c>
      <c r="I919" s="370"/>
      <c r="J919" s="370">
        <f t="shared" si="115"/>
        <v>100</v>
      </c>
    </row>
    <row r="920" spans="1:10" ht="48">
      <c r="A920" s="62" t="s">
        <v>278</v>
      </c>
      <c r="B920" s="55" t="s">
        <v>923</v>
      </c>
      <c r="C920" s="55" t="s">
        <v>1105</v>
      </c>
      <c r="D920" s="55" t="s">
        <v>178</v>
      </c>
      <c r="E920" s="55" t="s">
        <v>155</v>
      </c>
      <c r="F920" s="153">
        <f>F921+F922</f>
        <v>0</v>
      </c>
      <c r="G920" s="153">
        <f>G921+G922</f>
        <v>36894.50000000001</v>
      </c>
      <c r="H920" s="153">
        <f>H921+H922</f>
        <v>36894.50000000001</v>
      </c>
      <c r="I920" s="370"/>
      <c r="J920" s="370">
        <f t="shared" si="115"/>
        <v>100</v>
      </c>
    </row>
    <row r="921" spans="1:10" ht="72">
      <c r="A921" s="62" t="s">
        <v>179</v>
      </c>
      <c r="B921" s="55" t="s">
        <v>923</v>
      </c>
      <c r="C921" s="55" t="s">
        <v>1105</v>
      </c>
      <c r="D921" s="55" t="s">
        <v>178</v>
      </c>
      <c r="E921" s="55" t="s">
        <v>155</v>
      </c>
      <c r="F921" s="60">
        <v>0</v>
      </c>
      <c r="G921" s="60">
        <f>110+344.9+33921.8</f>
        <v>34376.700000000004</v>
      </c>
      <c r="H921" s="60">
        <f>110+344.9+33921.8</f>
        <v>34376.700000000004</v>
      </c>
      <c r="I921" s="370"/>
      <c r="J921" s="370">
        <f t="shared" si="115"/>
        <v>100</v>
      </c>
    </row>
    <row r="922" spans="1:10" ht="24">
      <c r="A922" s="62" t="s">
        <v>180</v>
      </c>
      <c r="B922" s="55" t="s">
        <v>923</v>
      </c>
      <c r="C922" s="55" t="s">
        <v>1105</v>
      </c>
      <c r="D922" s="55" t="s">
        <v>178</v>
      </c>
      <c r="E922" s="55" t="s">
        <v>155</v>
      </c>
      <c r="F922" s="60">
        <v>0</v>
      </c>
      <c r="G922" s="60">
        <v>2517.8</v>
      </c>
      <c r="H922" s="60">
        <v>2517.8</v>
      </c>
      <c r="I922" s="370"/>
      <c r="J922" s="370">
        <f t="shared" si="115"/>
        <v>100</v>
      </c>
    </row>
    <row r="923" spans="1:10" ht="66" customHeight="1">
      <c r="A923" s="62" t="s">
        <v>1054</v>
      </c>
      <c r="B923" s="55" t="s">
        <v>923</v>
      </c>
      <c r="C923" s="55" t="s">
        <v>1105</v>
      </c>
      <c r="D923" s="55" t="s">
        <v>1055</v>
      </c>
      <c r="E923" s="55" t="s">
        <v>920</v>
      </c>
      <c r="F923" s="153">
        <f aca="true" t="shared" si="122" ref="F923:H924">F924</f>
        <v>0</v>
      </c>
      <c r="G923" s="153">
        <f t="shared" si="122"/>
        <v>200</v>
      </c>
      <c r="H923" s="153">
        <f t="shared" si="122"/>
        <v>200</v>
      </c>
      <c r="I923" s="370"/>
      <c r="J923" s="370">
        <f t="shared" si="115"/>
        <v>100</v>
      </c>
    </row>
    <row r="924" spans="1:10" ht="36">
      <c r="A924" s="62" t="s">
        <v>139</v>
      </c>
      <c r="B924" s="55" t="s">
        <v>923</v>
      </c>
      <c r="C924" s="55" t="s">
        <v>1105</v>
      </c>
      <c r="D924" s="55" t="s">
        <v>1055</v>
      </c>
      <c r="E924" s="55" t="s">
        <v>1454</v>
      </c>
      <c r="F924" s="153">
        <f t="shared" si="122"/>
        <v>0</v>
      </c>
      <c r="G924" s="153">
        <f t="shared" si="122"/>
        <v>200</v>
      </c>
      <c r="H924" s="153">
        <f t="shared" si="122"/>
        <v>200</v>
      </c>
      <c r="I924" s="370"/>
      <c r="J924" s="370">
        <f t="shared" si="115"/>
        <v>100</v>
      </c>
    </row>
    <row r="925" spans="1:10" ht="24">
      <c r="A925" s="57" t="s">
        <v>1466</v>
      </c>
      <c r="B925" s="55" t="s">
        <v>923</v>
      </c>
      <c r="C925" s="55" t="s">
        <v>1105</v>
      </c>
      <c r="D925" s="55" t="s">
        <v>1055</v>
      </c>
      <c r="E925" s="55" t="s">
        <v>554</v>
      </c>
      <c r="F925" s="60">
        <v>0</v>
      </c>
      <c r="G925" s="60">
        <v>200</v>
      </c>
      <c r="H925" s="60">
        <v>200</v>
      </c>
      <c r="I925" s="370"/>
      <c r="J925" s="370">
        <f t="shared" si="115"/>
        <v>100</v>
      </c>
    </row>
    <row r="926" spans="1:10" ht="15.75">
      <c r="A926" s="71" t="s">
        <v>788</v>
      </c>
      <c r="B926" s="55" t="s">
        <v>1176</v>
      </c>
      <c r="C926" s="55"/>
      <c r="D926" s="55"/>
      <c r="E926" s="55"/>
      <c r="F926" s="154">
        <f>F927+F939</f>
        <v>17536.5</v>
      </c>
      <c r="G926" s="154">
        <f>G927+G939</f>
        <v>23673.9</v>
      </c>
      <c r="H926" s="154">
        <f>H927+H939</f>
        <v>23314.4</v>
      </c>
      <c r="I926" s="370">
        <f t="shared" si="117"/>
        <v>132.94785162375618</v>
      </c>
      <c r="J926" s="370">
        <f t="shared" si="115"/>
        <v>98.48145003569331</v>
      </c>
    </row>
    <row r="927" spans="1:10" ht="15.75">
      <c r="A927" s="160" t="s">
        <v>1097</v>
      </c>
      <c r="B927" s="55" t="s">
        <v>1176</v>
      </c>
      <c r="C927" s="55" t="s">
        <v>1105</v>
      </c>
      <c r="D927" s="79"/>
      <c r="E927" s="79"/>
      <c r="F927" s="153">
        <f aca="true" t="shared" si="123" ref="F927:H931">F928</f>
        <v>9350</v>
      </c>
      <c r="G927" s="153">
        <f t="shared" si="123"/>
        <v>11317.5</v>
      </c>
      <c r="H927" s="153">
        <f t="shared" si="123"/>
        <v>11068</v>
      </c>
      <c r="I927" s="370">
        <f t="shared" si="117"/>
        <v>118.37433155080215</v>
      </c>
      <c r="J927" s="370">
        <f t="shared" si="115"/>
        <v>97.79544952507179</v>
      </c>
    </row>
    <row r="928" spans="1:10" ht="36">
      <c r="A928" s="63" t="s">
        <v>181</v>
      </c>
      <c r="B928" s="55" t="s">
        <v>1176</v>
      </c>
      <c r="C928" s="55" t="s">
        <v>1105</v>
      </c>
      <c r="D928" s="55" t="s">
        <v>182</v>
      </c>
      <c r="E928" s="55"/>
      <c r="F928" s="153">
        <f t="shared" si="123"/>
        <v>9350</v>
      </c>
      <c r="G928" s="153">
        <f t="shared" si="123"/>
        <v>11317.5</v>
      </c>
      <c r="H928" s="153">
        <f t="shared" si="123"/>
        <v>11068</v>
      </c>
      <c r="I928" s="370">
        <f t="shared" si="117"/>
        <v>118.37433155080215</v>
      </c>
      <c r="J928" s="370">
        <f t="shared" si="115"/>
        <v>97.79544952507179</v>
      </c>
    </row>
    <row r="929" spans="1:10" ht="60">
      <c r="A929" s="62" t="s">
        <v>183</v>
      </c>
      <c r="B929" s="55" t="s">
        <v>1176</v>
      </c>
      <c r="C929" s="55" t="s">
        <v>1105</v>
      </c>
      <c r="D929" s="55" t="s">
        <v>184</v>
      </c>
      <c r="E929" s="55"/>
      <c r="F929" s="153">
        <f t="shared" si="123"/>
        <v>9350</v>
      </c>
      <c r="G929" s="153">
        <f t="shared" si="123"/>
        <v>11317.5</v>
      </c>
      <c r="H929" s="153">
        <f t="shared" si="123"/>
        <v>11068</v>
      </c>
      <c r="I929" s="370">
        <f t="shared" si="117"/>
        <v>118.37433155080215</v>
      </c>
      <c r="J929" s="370">
        <f t="shared" si="115"/>
        <v>97.79544952507179</v>
      </c>
    </row>
    <row r="930" spans="1:10" ht="24">
      <c r="A930" s="57" t="s">
        <v>789</v>
      </c>
      <c r="B930" s="55" t="s">
        <v>1176</v>
      </c>
      <c r="C930" s="55" t="s">
        <v>1105</v>
      </c>
      <c r="D930" s="55" t="s">
        <v>185</v>
      </c>
      <c r="E930" s="55" t="s">
        <v>920</v>
      </c>
      <c r="F930" s="153">
        <f t="shared" si="123"/>
        <v>9350</v>
      </c>
      <c r="G930" s="153">
        <f t="shared" si="123"/>
        <v>11317.5</v>
      </c>
      <c r="H930" s="153">
        <f t="shared" si="123"/>
        <v>11068</v>
      </c>
      <c r="I930" s="370">
        <f t="shared" si="117"/>
        <v>118.37433155080215</v>
      </c>
      <c r="J930" s="370">
        <f t="shared" si="115"/>
        <v>97.79544952507179</v>
      </c>
    </row>
    <row r="931" spans="1:10" ht="36">
      <c r="A931" s="62" t="s">
        <v>139</v>
      </c>
      <c r="B931" s="55" t="s">
        <v>1176</v>
      </c>
      <c r="C931" s="55" t="s">
        <v>1105</v>
      </c>
      <c r="D931" s="55" t="s">
        <v>185</v>
      </c>
      <c r="E931" s="55" t="s">
        <v>1454</v>
      </c>
      <c r="F931" s="153">
        <f t="shared" si="123"/>
        <v>9350</v>
      </c>
      <c r="G931" s="153">
        <f t="shared" si="123"/>
        <v>11317.5</v>
      </c>
      <c r="H931" s="153">
        <f t="shared" si="123"/>
        <v>11068</v>
      </c>
      <c r="I931" s="370">
        <f t="shared" si="117"/>
        <v>118.37433155080215</v>
      </c>
      <c r="J931" s="370">
        <f t="shared" si="115"/>
        <v>97.79544952507179</v>
      </c>
    </row>
    <row r="932" spans="1:10" ht="24">
      <c r="A932" s="57" t="s">
        <v>141</v>
      </c>
      <c r="B932" s="55" t="s">
        <v>1176</v>
      </c>
      <c r="C932" s="55" t="s">
        <v>1105</v>
      </c>
      <c r="D932" s="55" t="s">
        <v>185</v>
      </c>
      <c r="E932" s="55" t="s">
        <v>554</v>
      </c>
      <c r="F932" s="60">
        <f>9350</f>
        <v>9350</v>
      </c>
      <c r="G932" s="60">
        <f>9350+462.2+252.3+150+150+300+80+350+223</f>
        <v>11317.5</v>
      </c>
      <c r="H932" s="60">
        <f>9573+H933+H934+H936+H938</f>
        <v>11068</v>
      </c>
      <c r="I932" s="370">
        <f aca="true" t="shared" si="124" ref="I932:I959">H932/F932*100</f>
        <v>118.37433155080215</v>
      </c>
      <c r="J932" s="370">
        <f aca="true" t="shared" si="125" ref="J932:J959">H932/G932*100</f>
        <v>97.79544952507179</v>
      </c>
    </row>
    <row r="933" spans="1:10" ht="24">
      <c r="A933" s="57" t="s">
        <v>186</v>
      </c>
      <c r="B933" s="55" t="s">
        <v>1176</v>
      </c>
      <c r="C933" s="55" t="s">
        <v>1105</v>
      </c>
      <c r="D933" s="55" t="s">
        <v>185</v>
      </c>
      <c r="E933" s="55" t="s">
        <v>554</v>
      </c>
      <c r="F933" s="60">
        <v>0</v>
      </c>
      <c r="G933" s="60">
        <v>462.2</v>
      </c>
      <c r="H933" s="60">
        <v>447</v>
      </c>
      <c r="I933" s="370"/>
      <c r="J933" s="370">
        <f t="shared" si="125"/>
        <v>96.71138035482475</v>
      </c>
    </row>
    <row r="934" spans="1:10" ht="33" customHeight="1">
      <c r="A934" s="57" t="s">
        <v>189</v>
      </c>
      <c r="B934" s="55" t="s">
        <v>1176</v>
      </c>
      <c r="C934" s="55" t="s">
        <v>1105</v>
      </c>
      <c r="D934" s="55" t="s">
        <v>185</v>
      </c>
      <c r="E934" s="55" t="s">
        <v>554</v>
      </c>
      <c r="F934" s="60">
        <v>0</v>
      </c>
      <c r="G934" s="60">
        <f>252.3+150</f>
        <v>402.3</v>
      </c>
      <c r="H934" s="60">
        <v>401</v>
      </c>
      <c r="I934" s="370"/>
      <c r="J934" s="370">
        <f t="shared" si="125"/>
        <v>99.6768580661198</v>
      </c>
    </row>
    <row r="935" spans="1:10" ht="43.5" customHeight="1">
      <c r="A935" s="57" t="s">
        <v>190</v>
      </c>
      <c r="B935" s="55" t="s">
        <v>1176</v>
      </c>
      <c r="C935" s="55" t="s">
        <v>1105</v>
      </c>
      <c r="D935" s="55" t="s">
        <v>185</v>
      </c>
      <c r="E935" s="55" t="s">
        <v>554</v>
      </c>
      <c r="F935" s="60">
        <v>0</v>
      </c>
      <c r="G935" s="60">
        <v>150</v>
      </c>
      <c r="H935" s="60">
        <v>0</v>
      </c>
      <c r="I935" s="370"/>
      <c r="J935" s="370">
        <f t="shared" si="125"/>
        <v>0</v>
      </c>
    </row>
    <row r="936" spans="1:10" ht="34.5" customHeight="1">
      <c r="A936" s="57" t="s">
        <v>191</v>
      </c>
      <c r="B936" s="55" t="s">
        <v>1176</v>
      </c>
      <c r="C936" s="55" t="s">
        <v>1105</v>
      </c>
      <c r="D936" s="55" t="s">
        <v>185</v>
      </c>
      <c r="E936" s="55" t="s">
        <v>554</v>
      </c>
      <c r="F936" s="60">
        <v>0</v>
      </c>
      <c r="G936" s="60">
        <v>300</v>
      </c>
      <c r="H936" s="60">
        <v>300</v>
      </c>
      <c r="I936" s="370"/>
      <c r="J936" s="370">
        <f t="shared" si="125"/>
        <v>100</v>
      </c>
    </row>
    <row r="937" spans="1:10" ht="41.25" customHeight="1">
      <c r="A937" s="57" t="s">
        <v>192</v>
      </c>
      <c r="B937" s="55" t="s">
        <v>1176</v>
      </c>
      <c r="C937" s="55" t="s">
        <v>1105</v>
      </c>
      <c r="D937" s="55" t="s">
        <v>185</v>
      </c>
      <c r="E937" s="55" t="s">
        <v>554</v>
      </c>
      <c r="F937" s="60">
        <v>0</v>
      </c>
      <c r="G937" s="60">
        <v>80</v>
      </c>
      <c r="H937" s="60">
        <v>0</v>
      </c>
      <c r="I937" s="370"/>
      <c r="J937" s="370">
        <f t="shared" si="125"/>
        <v>0</v>
      </c>
    </row>
    <row r="938" spans="1:10" ht="48" customHeight="1">
      <c r="A938" s="57" t="s">
        <v>193</v>
      </c>
      <c r="B938" s="55" t="s">
        <v>1176</v>
      </c>
      <c r="C938" s="55" t="s">
        <v>1105</v>
      </c>
      <c r="D938" s="55" t="s">
        <v>185</v>
      </c>
      <c r="E938" s="55" t="s">
        <v>554</v>
      </c>
      <c r="F938" s="60">
        <v>0</v>
      </c>
      <c r="G938" s="60">
        <v>350</v>
      </c>
      <c r="H938" s="60">
        <v>347</v>
      </c>
      <c r="I938" s="370"/>
      <c r="J938" s="370">
        <f t="shared" si="125"/>
        <v>99.14285714285714</v>
      </c>
    </row>
    <row r="939" spans="1:10" ht="15.75">
      <c r="A939" s="65" t="s">
        <v>790</v>
      </c>
      <c r="B939" s="55" t="s">
        <v>1176</v>
      </c>
      <c r="C939" s="55" t="s">
        <v>1106</v>
      </c>
      <c r="D939" s="55"/>
      <c r="E939" s="55"/>
      <c r="F939" s="153">
        <f aca="true" t="shared" si="126" ref="F939:H943">F940</f>
        <v>8186.5</v>
      </c>
      <c r="G939" s="153">
        <f t="shared" si="126"/>
        <v>12356.4</v>
      </c>
      <c r="H939" s="153">
        <f t="shared" si="126"/>
        <v>12246.4</v>
      </c>
      <c r="I939" s="370">
        <f t="shared" si="124"/>
        <v>149.59262199963354</v>
      </c>
      <c r="J939" s="370">
        <f t="shared" si="125"/>
        <v>99.10977307306335</v>
      </c>
    </row>
    <row r="940" spans="1:10" ht="36">
      <c r="A940" s="63" t="s">
        <v>181</v>
      </c>
      <c r="B940" s="55" t="s">
        <v>1176</v>
      </c>
      <c r="C940" s="55" t="s">
        <v>1106</v>
      </c>
      <c r="D940" s="55" t="s">
        <v>182</v>
      </c>
      <c r="E940" s="55"/>
      <c r="F940" s="153">
        <f t="shared" si="126"/>
        <v>8186.5</v>
      </c>
      <c r="G940" s="153">
        <f t="shared" si="126"/>
        <v>12356.4</v>
      </c>
      <c r="H940" s="153">
        <f t="shared" si="126"/>
        <v>12246.4</v>
      </c>
      <c r="I940" s="370">
        <f t="shared" si="124"/>
        <v>149.59262199963354</v>
      </c>
      <c r="J940" s="370">
        <f t="shared" si="125"/>
        <v>99.10977307306335</v>
      </c>
    </row>
    <row r="941" spans="1:10" ht="60">
      <c r="A941" s="62" t="s">
        <v>194</v>
      </c>
      <c r="B941" s="55" t="s">
        <v>1176</v>
      </c>
      <c r="C941" s="55" t="s">
        <v>1106</v>
      </c>
      <c r="D941" s="55" t="s">
        <v>184</v>
      </c>
      <c r="E941" s="55"/>
      <c r="F941" s="153">
        <f t="shared" si="126"/>
        <v>8186.5</v>
      </c>
      <c r="G941" s="153">
        <f t="shared" si="126"/>
        <v>12356.4</v>
      </c>
      <c r="H941" s="153">
        <f t="shared" si="126"/>
        <v>12246.4</v>
      </c>
      <c r="I941" s="370">
        <f t="shared" si="124"/>
        <v>149.59262199963354</v>
      </c>
      <c r="J941" s="370">
        <f t="shared" si="125"/>
        <v>99.10977307306335</v>
      </c>
    </row>
    <row r="942" spans="1:10" ht="24">
      <c r="A942" s="57" t="s">
        <v>556</v>
      </c>
      <c r="B942" s="55" t="s">
        <v>1176</v>
      </c>
      <c r="C942" s="55" t="s">
        <v>1106</v>
      </c>
      <c r="D942" s="55" t="s">
        <v>195</v>
      </c>
      <c r="E942" s="55" t="s">
        <v>920</v>
      </c>
      <c r="F942" s="153">
        <f t="shared" si="126"/>
        <v>8186.5</v>
      </c>
      <c r="G942" s="153">
        <f t="shared" si="126"/>
        <v>12356.4</v>
      </c>
      <c r="H942" s="153">
        <f t="shared" si="126"/>
        <v>12246.4</v>
      </c>
      <c r="I942" s="370">
        <f t="shared" si="124"/>
        <v>149.59262199963354</v>
      </c>
      <c r="J942" s="370">
        <f t="shared" si="125"/>
        <v>99.10977307306335</v>
      </c>
    </row>
    <row r="943" spans="1:10" ht="36">
      <c r="A943" s="62" t="s">
        <v>139</v>
      </c>
      <c r="B943" s="55" t="s">
        <v>1176</v>
      </c>
      <c r="C943" s="55" t="s">
        <v>1106</v>
      </c>
      <c r="D943" s="55" t="s">
        <v>195</v>
      </c>
      <c r="E943" s="55" t="s">
        <v>1454</v>
      </c>
      <c r="F943" s="153">
        <f t="shared" si="126"/>
        <v>8186.5</v>
      </c>
      <c r="G943" s="153">
        <f t="shared" si="126"/>
        <v>12356.4</v>
      </c>
      <c r="H943" s="153">
        <f t="shared" si="126"/>
        <v>12246.4</v>
      </c>
      <c r="I943" s="370">
        <f t="shared" si="124"/>
        <v>149.59262199963354</v>
      </c>
      <c r="J943" s="370">
        <f t="shared" si="125"/>
        <v>99.10977307306335</v>
      </c>
    </row>
    <row r="944" spans="1:10" ht="24">
      <c r="A944" s="57" t="s">
        <v>141</v>
      </c>
      <c r="B944" s="55" t="s">
        <v>1176</v>
      </c>
      <c r="C944" s="55" t="s">
        <v>1106</v>
      </c>
      <c r="D944" s="55" t="s">
        <v>195</v>
      </c>
      <c r="E944" s="55" t="s">
        <v>554</v>
      </c>
      <c r="F944" s="60">
        <v>8186.5</v>
      </c>
      <c r="G944" s="60">
        <f>10212-2025.5+960+250-140-0.1+2100+1000</f>
        <v>12356.4</v>
      </c>
      <c r="H944" s="60">
        <f>6650+H945</f>
        <v>12246.4</v>
      </c>
      <c r="I944" s="370">
        <f t="shared" si="124"/>
        <v>149.59262199963354</v>
      </c>
      <c r="J944" s="370">
        <f t="shared" si="125"/>
        <v>99.10977307306335</v>
      </c>
    </row>
    <row r="945" spans="1:10" ht="36">
      <c r="A945" s="57" t="s">
        <v>196</v>
      </c>
      <c r="B945" s="55" t="s">
        <v>1176</v>
      </c>
      <c r="C945" s="55" t="s">
        <v>1106</v>
      </c>
      <c r="D945" s="55" t="s">
        <v>195</v>
      </c>
      <c r="E945" s="55" t="s">
        <v>554</v>
      </c>
      <c r="F945" s="60">
        <v>0</v>
      </c>
      <c r="G945" s="60">
        <v>5596.4</v>
      </c>
      <c r="H945" s="60">
        <v>5596.4</v>
      </c>
      <c r="I945" s="370"/>
      <c r="J945" s="370">
        <f t="shared" si="125"/>
        <v>100</v>
      </c>
    </row>
    <row r="946" spans="1:10" ht="24">
      <c r="A946" s="57" t="s">
        <v>197</v>
      </c>
      <c r="B946" s="55" t="s">
        <v>1176</v>
      </c>
      <c r="C946" s="55" t="s">
        <v>1106</v>
      </c>
      <c r="D946" s="55" t="s">
        <v>195</v>
      </c>
      <c r="E946" s="55" t="s">
        <v>554</v>
      </c>
      <c r="F946" s="60">
        <v>0</v>
      </c>
      <c r="G946" s="60">
        <f>250-140</f>
        <v>110</v>
      </c>
      <c r="H946" s="60">
        <v>0</v>
      </c>
      <c r="I946" s="370"/>
      <c r="J946" s="370">
        <f t="shared" si="125"/>
        <v>0</v>
      </c>
    </row>
    <row r="947" spans="1:10" ht="24">
      <c r="A947" s="57" t="s">
        <v>187</v>
      </c>
      <c r="B947" s="55" t="s">
        <v>1176</v>
      </c>
      <c r="C947" s="55" t="s">
        <v>1106</v>
      </c>
      <c r="D947" s="55" t="s">
        <v>195</v>
      </c>
      <c r="E947" s="55" t="s">
        <v>554</v>
      </c>
      <c r="F947" s="60">
        <f>223-223</f>
        <v>0</v>
      </c>
      <c r="G947" s="60">
        <f>223-223</f>
        <v>0</v>
      </c>
      <c r="H947" s="60">
        <f>223-223</f>
        <v>0</v>
      </c>
      <c r="I947" s="370"/>
      <c r="J947" s="370"/>
    </row>
    <row r="948" spans="1:10" ht="24">
      <c r="A948" s="57" t="s">
        <v>188</v>
      </c>
      <c r="B948" s="55" t="s">
        <v>1176</v>
      </c>
      <c r="C948" s="55" t="s">
        <v>1106</v>
      </c>
      <c r="D948" s="55" t="s">
        <v>195</v>
      </c>
      <c r="E948" s="55" t="s">
        <v>554</v>
      </c>
      <c r="F948" s="60">
        <f>104.8-104.8</f>
        <v>0</v>
      </c>
      <c r="G948" s="60">
        <f>104.8-104.8</f>
        <v>0</v>
      </c>
      <c r="H948" s="60">
        <f>104.8-104.8</f>
        <v>0</v>
      </c>
      <c r="I948" s="370"/>
      <c r="J948" s="370"/>
    </row>
    <row r="949" spans="1:23" ht="24">
      <c r="A949" s="61" t="s">
        <v>922</v>
      </c>
      <c r="B949" s="55" t="s">
        <v>1367</v>
      </c>
      <c r="C949" s="424" t="s">
        <v>791</v>
      </c>
      <c r="D949" s="396"/>
      <c r="E949" s="55"/>
      <c r="F949" s="154">
        <f>F950</f>
        <v>120071</v>
      </c>
      <c r="G949" s="154">
        <f>G950</f>
        <v>0</v>
      </c>
      <c r="H949" s="154">
        <f>H950</f>
        <v>0</v>
      </c>
      <c r="I949" s="370">
        <f t="shared" si="124"/>
        <v>0</v>
      </c>
      <c r="J949" s="370"/>
      <c r="K949" s="233"/>
      <c r="L949" s="411"/>
      <c r="M949" s="233"/>
      <c r="N949" s="233"/>
      <c r="O949" s="233"/>
      <c r="P949" s="233"/>
      <c r="Q949" s="233"/>
      <c r="R949" s="233"/>
      <c r="S949" s="233"/>
      <c r="T949" s="233"/>
      <c r="U949" s="233"/>
      <c r="V949" s="233"/>
      <c r="W949" s="233"/>
    </row>
    <row r="950" spans="1:23" ht="24">
      <c r="A950" s="63" t="s">
        <v>1098</v>
      </c>
      <c r="B950" s="55" t="s">
        <v>1367</v>
      </c>
      <c r="C950" s="408" t="s">
        <v>1105</v>
      </c>
      <c r="D950" s="55" t="s">
        <v>198</v>
      </c>
      <c r="E950" s="235"/>
      <c r="F950" s="153">
        <f>F952+F953</f>
        <v>120071</v>
      </c>
      <c r="G950" s="153">
        <f>G952+G953</f>
        <v>0</v>
      </c>
      <c r="H950" s="153">
        <f>H952+H953</f>
        <v>0</v>
      </c>
      <c r="I950" s="370">
        <f t="shared" si="124"/>
        <v>0</v>
      </c>
      <c r="J950" s="370"/>
      <c r="K950" s="233"/>
      <c r="L950" s="411"/>
      <c r="M950" s="233"/>
      <c r="N950" s="233"/>
      <c r="O950" s="233"/>
      <c r="P950" s="233"/>
      <c r="Q950" s="233"/>
      <c r="R950" s="233"/>
      <c r="S950" s="233"/>
      <c r="T950" s="233"/>
      <c r="U950" s="233"/>
      <c r="V950" s="233"/>
      <c r="W950" s="233"/>
    </row>
    <row r="951" spans="1:23" ht="24">
      <c r="A951" s="62" t="s">
        <v>199</v>
      </c>
      <c r="B951" s="55" t="s">
        <v>1367</v>
      </c>
      <c r="C951" s="408" t="s">
        <v>1105</v>
      </c>
      <c r="D951" s="55" t="s">
        <v>198</v>
      </c>
      <c r="E951" s="235" t="s">
        <v>200</v>
      </c>
      <c r="F951" s="153">
        <f>F952</f>
        <v>20000</v>
      </c>
      <c r="G951" s="153">
        <f>G952</f>
        <v>0</v>
      </c>
      <c r="H951" s="153">
        <f>H952</f>
        <v>0</v>
      </c>
      <c r="I951" s="370">
        <f t="shared" si="124"/>
        <v>0</v>
      </c>
      <c r="J951" s="370"/>
      <c r="K951" s="233"/>
      <c r="L951" s="411"/>
      <c r="M951" s="233"/>
      <c r="N951" s="233"/>
      <c r="O951" s="233"/>
      <c r="P951" s="233"/>
      <c r="Q951" s="233"/>
      <c r="R951" s="233"/>
      <c r="S951" s="233"/>
      <c r="T951" s="233"/>
      <c r="U951" s="233"/>
      <c r="V951" s="233"/>
      <c r="W951" s="233"/>
    </row>
    <row r="952" spans="1:23" ht="24">
      <c r="A952" s="57" t="s">
        <v>1082</v>
      </c>
      <c r="B952" s="55" t="s">
        <v>1367</v>
      </c>
      <c r="C952" s="408" t="s">
        <v>1105</v>
      </c>
      <c r="D952" s="55" t="s">
        <v>198</v>
      </c>
      <c r="E952" s="235" t="s">
        <v>201</v>
      </c>
      <c r="F952" s="60">
        <v>20000</v>
      </c>
      <c r="G952" s="60">
        <v>0</v>
      </c>
      <c r="H952" s="60">
        <v>0</v>
      </c>
      <c r="I952" s="370">
        <f t="shared" si="124"/>
        <v>0</v>
      </c>
      <c r="J952" s="370"/>
      <c r="K952" s="233"/>
      <c r="L952" s="411"/>
      <c r="M952" s="233"/>
      <c r="N952" s="233"/>
      <c r="O952" s="233"/>
      <c r="P952" s="233"/>
      <c r="Q952" s="233"/>
      <c r="R952" s="233"/>
      <c r="S952" s="233"/>
      <c r="T952" s="233"/>
      <c r="U952" s="233"/>
      <c r="V952" s="233"/>
      <c r="W952" s="233"/>
    </row>
    <row r="953" spans="1:23" ht="24">
      <c r="A953" s="206" t="s">
        <v>793</v>
      </c>
      <c r="B953" s="55" t="s">
        <v>1367</v>
      </c>
      <c r="C953" s="408" t="s">
        <v>1105</v>
      </c>
      <c r="D953" s="55" t="s">
        <v>198</v>
      </c>
      <c r="E953" s="235" t="s">
        <v>794</v>
      </c>
      <c r="F953" s="153">
        <f>F954</f>
        <v>100071</v>
      </c>
      <c r="G953" s="153">
        <f>G954</f>
        <v>0</v>
      </c>
      <c r="H953" s="153">
        <f>H954</f>
        <v>0</v>
      </c>
      <c r="I953" s="370">
        <f t="shared" si="124"/>
        <v>0</v>
      </c>
      <c r="J953" s="370"/>
      <c r="K953" s="233"/>
      <c r="L953" s="411"/>
      <c r="M953" s="233"/>
      <c r="N953" s="233"/>
      <c r="O953" s="233"/>
      <c r="P953" s="233"/>
      <c r="Q953" s="233"/>
      <c r="R953" s="233"/>
      <c r="S953" s="233"/>
      <c r="T953" s="233"/>
      <c r="U953" s="233"/>
      <c r="V953" s="233"/>
      <c r="W953" s="233"/>
    </row>
    <row r="954" spans="1:23" ht="48">
      <c r="A954" s="57" t="s">
        <v>1368</v>
      </c>
      <c r="B954" s="55" t="s">
        <v>1367</v>
      </c>
      <c r="C954" s="408" t="s">
        <v>1105</v>
      </c>
      <c r="D954" s="55" t="s">
        <v>198</v>
      </c>
      <c r="E954" s="235" t="s">
        <v>1369</v>
      </c>
      <c r="F954" s="60">
        <v>100071</v>
      </c>
      <c r="G954" s="60">
        <v>0</v>
      </c>
      <c r="H954" s="60">
        <v>0</v>
      </c>
      <c r="I954" s="370">
        <f t="shared" si="124"/>
        <v>0</v>
      </c>
      <c r="J954" s="370"/>
      <c r="K954" s="233"/>
      <c r="L954" s="411"/>
      <c r="M954" s="233"/>
      <c r="N954" s="233"/>
      <c r="O954" s="233"/>
      <c r="P954" s="233"/>
      <c r="Q954" s="233"/>
      <c r="R954" s="233"/>
      <c r="S954" s="233"/>
      <c r="T954" s="233"/>
      <c r="U954" s="233"/>
      <c r="V954" s="233"/>
      <c r="W954" s="233"/>
    </row>
    <row r="955" spans="1:10" ht="66">
      <c r="A955" s="124" t="s">
        <v>1370</v>
      </c>
      <c r="B955" s="79" t="s">
        <v>682</v>
      </c>
      <c r="C955" s="406"/>
      <c r="D955" s="79"/>
      <c r="E955" s="407"/>
      <c r="F955" s="154">
        <f aca="true" t="shared" si="127" ref="F955:H958">F956</f>
        <v>130984</v>
      </c>
      <c r="G955" s="154">
        <f t="shared" si="127"/>
        <v>130984</v>
      </c>
      <c r="H955" s="154">
        <f t="shared" si="127"/>
        <v>130984</v>
      </c>
      <c r="I955" s="370">
        <f t="shared" si="124"/>
        <v>100</v>
      </c>
      <c r="J955" s="370">
        <f t="shared" si="125"/>
        <v>100</v>
      </c>
    </row>
    <row r="956" spans="1:10" ht="22.5">
      <c r="A956" s="61" t="s">
        <v>1371</v>
      </c>
      <c r="B956" s="55" t="s">
        <v>682</v>
      </c>
      <c r="C956" s="408" t="s">
        <v>530</v>
      </c>
      <c r="D956" s="55"/>
      <c r="E956" s="235"/>
      <c r="F956" s="153">
        <f t="shared" si="127"/>
        <v>130984</v>
      </c>
      <c r="G956" s="153">
        <f t="shared" si="127"/>
        <v>130984</v>
      </c>
      <c r="H956" s="153">
        <f t="shared" si="127"/>
        <v>130984</v>
      </c>
      <c r="I956" s="370">
        <f t="shared" si="124"/>
        <v>100</v>
      </c>
      <c r="J956" s="370">
        <f t="shared" si="125"/>
        <v>100</v>
      </c>
    </row>
    <row r="957" spans="1:10" ht="36">
      <c r="A957" s="62" t="s">
        <v>1177</v>
      </c>
      <c r="B957" s="55" t="s">
        <v>682</v>
      </c>
      <c r="C957" s="408" t="s">
        <v>530</v>
      </c>
      <c r="D957" s="55" t="s">
        <v>202</v>
      </c>
      <c r="E957" s="235" t="s">
        <v>920</v>
      </c>
      <c r="F957" s="153">
        <f t="shared" si="127"/>
        <v>130984</v>
      </c>
      <c r="G957" s="153">
        <f t="shared" si="127"/>
        <v>130984</v>
      </c>
      <c r="H957" s="153">
        <f t="shared" si="127"/>
        <v>130984</v>
      </c>
      <c r="I957" s="370">
        <f t="shared" si="124"/>
        <v>100</v>
      </c>
      <c r="J957" s="370">
        <f t="shared" si="125"/>
        <v>100</v>
      </c>
    </row>
    <row r="958" spans="1:10" ht="15">
      <c r="A958" s="62" t="s">
        <v>203</v>
      </c>
      <c r="B958" s="55" t="s">
        <v>682</v>
      </c>
      <c r="C958" s="408" t="s">
        <v>530</v>
      </c>
      <c r="D958" s="55" t="s">
        <v>202</v>
      </c>
      <c r="E958" s="235" t="s">
        <v>931</v>
      </c>
      <c r="F958" s="153">
        <f t="shared" si="127"/>
        <v>130984</v>
      </c>
      <c r="G958" s="153">
        <f t="shared" si="127"/>
        <v>130984</v>
      </c>
      <c r="H958" s="153">
        <f t="shared" si="127"/>
        <v>130984</v>
      </c>
      <c r="I958" s="370">
        <f t="shared" si="124"/>
        <v>100</v>
      </c>
      <c r="J958" s="370">
        <f t="shared" si="125"/>
        <v>100</v>
      </c>
    </row>
    <row r="959" spans="1:10" ht="15">
      <c r="A959" s="62" t="s">
        <v>204</v>
      </c>
      <c r="B959" s="55" t="s">
        <v>682</v>
      </c>
      <c r="C959" s="408" t="s">
        <v>530</v>
      </c>
      <c r="D959" s="55" t="s">
        <v>202</v>
      </c>
      <c r="E959" s="235" t="s">
        <v>1351</v>
      </c>
      <c r="F959" s="60">
        <v>130984</v>
      </c>
      <c r="G959" s="60">
        <v>130984</v>
      </c>
      <c r="H959" s="60">
        <v>130984</v>
      </c>
      <c r="I959" s="370">
        <f t="shared" si="124"/>
        <v>100</v>
      </c>
      <c r="J959" s="370">
        <f t="shared" si="125"/>
        <v>100</v>
      </c>
    </row>
    <row r="960" spans="1:10" ht="28.5" customHeight="1">
      <c r="A960" s="535" t="s">
        <v>205</v>
      </c>
      <c r="B960" s="536"/>
      <c r="C960" s="536"/>
      <c r="D960" s="536"/>
      <c r="E960" s="536"/>
      <c r="F960" s="536"/>
      <c r="G960" s="536"/>
      <c r="H960" s="536"/>
      <c r="I960" s="536"/>
      <c r="J960" s="537"/>
    </row>
    <row r="961" spans="1:10" ht="15">
      <c r="A961" s="409"/>
      <c r="G961" s="410"/>
      <c r="H961" s="410"/>
      <c r="I961" s="411"/>
      <c r="J961" s="411"/>
    </row>
    <row r="962" spans="9:10" ht="15">
      <c r="I962" s="411"/>
      <c r="J962" s="411"/>
    </row>
    <row r="963" spans="9:10" ht="15">
      <c r="I963" s="411"/>
      <c r="J963" s="411"/>
    </row>
    <row r="964" spans="9:10" ht="15">
      <c r="I964" s="411"/>
      <c r="J964" s="411"/>
    </row>
    <row r="965" spans="9:10" ht="15">
      <c r="I965" s="411"/>
      <c r="J965" s="411"/>
    </row>
    <row r="966" spans="9:10" ht="15">
      <c r="I966" s="411"/>
      <c r="J966" s="411"/>
    </row>
    <row r="967" spans="9:10" ht="15">
      <c r="I967" s="411"/>
      <c r="J967" s="411"/>
    </row>
    <row r="968" spans="9:10" ht="15">
      <c r="I968" s="411"/>
      <c r="J968" s="411"/>
    </row>
    <row r="969" spans="9:10" ht="15">
      <c r="I969" s="411"/>
      <c r="J969" s="411"/>
    </row>
    <row r="970" spans="9:10" ht="15">
      <c r="I970" s="411"/>
      <c r="J970" s="411"/>
    </row>
    <row r="971" spans="9:10" ht="15">
      <c r="I971" s="411"/>
      <c r="J971" s="411"/>
    </row>
    <row r="972" spans="9:10" ht="15">
      <c r="I972" s="411"/>
      <c r="J972" s="411"/>
    </row>
    <row r="973" spans="9:10" ht="15">
      <c r="I973" s="411"/>
      <c r="J973" s="411"/>
    </row>
    <row r="974" spans="9:10" ht="50.25" customHeight="1">
      <c r="I974" s="411"/>
      <c r="J974" s="411"/>
    </row>
    <row r="975" spans="9:10" ht="15">
      <c r="I975" s="411"/>
      <c r="J975" s="411"/>
    </row>
    <row r="976" spans="9:10" ht="15">
      <c r="I976" s="411"/>
      <c r="J976" s="411"/>
    </row>
    <row r="977" spans="9:10" ht="15">
      <c r="I977" s="411"/>
      <c r="J977" s="411"/>
    </row>
    <row r="978" spans="9:10" ht="15">
      <c r="I978" s="411"/>
      <c r="J978" s="411"/>
    </row>
    <row r="979" spans="9:10" ht="15">
      <c r="I979" s="411"/>
      <c r="J979" s="411"/>
    </row>
    <row r="980" spans="9:10" ht="15">
      <c r="I980" s="411"/>
      <c r="J980" s="411"/>
    </row>
    <row r="981" spans="9:10" ht="15">
      <c r="I981" s="411"/>
      <c r="J981" s="411"/>
    </row>
    <row r="982" spans="9:10" ht="15">
      <c r="I982" s="411"/>
      <c r="J982" s="411"/>
    </row>
    <row r="983" spans="9:10" ht="15">
      <c r="I983" s="411"/>
      <c r="J983" s="411"/>
    </row>
    <row r="984" spans="9:10" ht="15">
      <c r="I984" s="411"/>
      <c r="J984" s="411"/>
    </row>
    <row r="985" spans="9:10" ht="15">
      <c r="I985" s="411"/>
      <c r="J985" s="411"/>
    </row>
    <row r="986" spans="9:10" ht="18" customHeight="1">
      <c r="I986" s="411"/>
      <c r="J986" s="411"/>
    </row>
    <row r="987" spans="9:10" ht="15">
      <c r="I987" s="411"/>
      <c r="J987" s="411"/>
    </row>
    <row r="988" spans="9:10" ht="15">
      <c r="I988" s="411"/>
      <c r="J988" s="411"/>
    </row>
    <row r="989" spans="9:10" ht="15">
      <c r="I989" s="411"/>
      <c r="J989" s="411"/>
    </row>
    <row r="990" spans="9:10" ht="15">
      <c r="I990" s="411"/>
      <c r="J990" s="411"/>
    </row>
    <row r="991" spans="9:10" ht="15">
      <c r="I991" s="411"/>
      <c r="J991" s="411"/>
    </row>
    <row r="992" spans="9:10" ht="15">
      <c r="I992" s="411"/>
      <c r="J992" s="411"/>
    </row>
    <row r="993" spans="9:10" ht="15">
      <c r="I993" s="411"/>
      <c r="J993" s="411"/>
    </row>
    <row r="994" spans="9:10" ht="15">
      <c r="I994" s="411"/>
      <c r="J994" s="411"/>
    </row>
    <row r="995" spans="9:10" ht="15">
      <c r="I995" s="411"/>
      <c r="J995" s="411"/>
    </row>
    <row r="996" spans="9:10" ht="15">
      <c r="I996" s="411"/>
      <c r="J996" s="411"/>
    </row>
    <row r="997" spans="9:10" ht="15">
      <c r="I997" s="411"/>
      <c r="J997" s="411"/>
    </row>
    <row r="998" spans="9:10" ht="15">
      <c r="I998" s="411"/>
      <c r="J998" s="411"/>
    </row>
    <row r="999" spans="9:10" ht="15">
      <c r="I999" s="411"/>
      <c r="J999" s="411"/>
    </row>
    <row r="1000" spans="9:10" ht="15">
      <c r="I1000" s="411"/>
      <c r="J1000" s="411"/>
    </row>
    <row r="1001" spans="9:10" ht="15">
      <c r="I1001" s="411"/>
      <c r="J1001" s="411"/>
    </row>
    <row r="1002" spans="9:10" ht="15">
      <c r="I1002" s="411"/>
      <c r="J1002" s="411"/>
    </row>
    <row r="1003" spans="9:10" ht="15">
      <c r="I1003" s="411"/>
      <c r="J1003" s="411"/>
    </row>
    <row r="1004" spans="9:10" ht="15">
      <c r="I1004" s="411"/>
      <c r="J1004" s="411"/>
    </row>
    <row r="1005" spans="9:10" ht="15">
      <c r="I1005" s="411"/>
      <c r="J1005" s="411"/>
    </row>
    <row r="1006" spans="9:10" ht="15">
      <c r="I1006" s="411"/>
      <c r="J1006" s="411"/>
    </row>
    <row r="1007" spans="9:10" ht="15">
      <c r="I1007" s="411"/>
      <c r="J1007" s="411"/>
    </row>
    <row r="1008" spans="9:10" ht="15">
      <c r="I1008" s="411"/>
      <c r="J1008" s="411"/>
    </row>
    <row r="1009" spans="9:10" ht="15">
      <c r="I1009" s="411"/>
      <c r="J1009" s="411"/>
    </row>
    <row r="1010" spans="9:10" ht="15">
      <c r="I1010" s="411"/>
      <c r="J1010" s="411"/>
    </row>
    <row r="1011" spans="9:10" ht="15">
      <c r="I1011" s="411"/>
      <c r="J1011" s="411"/>
    </row>
    <row r="1012" spans="9:10" ht="15">
      <c r="I1012" s="411"/>
      <c r="J1012" s="411"/>
    </row>
    <row r="1013" spans="9:10" ht="15">
      <c r="I1013" s="411"/>
      <c r="J1013" s="411"/>
    </row>
    <row r="1014" spans="9:10" ht="15">
      <c r="I1014" s="411"/>
      <c r="J1014" s="411"/>
    </row>
    <row r="1015" spans="9:10" ht="15">
      <c r="I1015" s="411"/>
      <c r="J1015" s="411"/>
    </row>
    <row r="1016" spans="9:10" ht="15">
      <c r="I1016" s="411"/>
      <c r="J1016" s="411"/>
    </row>
    <row r="1017" spans="9:10" ht="15">
      <c r="I1017" s="411"/>
      <c r="J1017" s="411"/>
    </row>
    <row r="1018" spans="9:10" ht="15">
      <c r="I1018" s="411"/>
      <c r="J1018" s="411"/>
    </row>
    <row r="1019" spans="9:10" ht="15">
      <c r="I1019" s="411"/>
      <c r="J1019" s="411"/>
    </row>
    <row r="1020" spans="9:10" ht="15">
      <c r="I1020" s="411"/>
      <c r="J1020" s="411"/>
    </row>
    <row r="1021" spans="9:10" ht="15">
      <c r="I1021" s="411"/>
      <c r="J1021" s="411"/>
    </row>
    <row r="1022" spans="9:10" ht="15">
      <c r="I1022" s="411"/>
      <c r="J1022" s="411"/>
    </row>
    <row r="1023" spans="9:10" ht="15">
      <c r="I1023" s="411"/>
      <c r="J1023" s="411"/>
    </row>
    <row r="1024" spans="9:10" ht="15">
      <c r="I1024" s="411"/>
      <c r="J1024" s="411"/>
    </row>
    <row r="1025" spans="9:10" ht="15">
      <c r="I1025" s="411"/>
      <c r="J1025" s="411"/>
    </row>
    <row r="1026" spans="9:10" ht="15">
      <c r="I1026" s="411"/>
      <c r="J1026" s="411"/>
    </row>
    <row r="1027" spans="9:10" ht="15">
      <c r="I1027" s="411"/>
      <c r="J1027" s="411"/>
    </row>
    <row r="1028" spans="9:10" ht="15">
      <c r="I1028" s="411"/>
      <c r="J1028" s="411"/>
    </row>
    <row r="1029" spans="9:10" ht="15">
      <c r="I1029" s="411"/>
      <c r="J1029" s="411"/>
    </row>
    <row r="1030" spans="9:10" ht="15">
      <c r="I1030" s="411"/>
      <c r="J1030" s="411"/>
    </row>
    <row r="1031" spans="9:10" ht="15">
      <c r="I1031" s="411"/>
      <c r="J1031" s="411"/>
    </row>
    <row r="1032" spans="9:10" ht="15">
      <c r="I1032" s="411"/>
      <c r="J1032" s="411"/>
    </row>
    <row r="1033" spans="9:10" ht="15">
      <c r="I1033" s="411"/>
      <c r="J1033" s="411"/>
    </row>
    <row r="1034" spans="9:10" ht="15">
      <c r="I1034" s="411"/>
      <c r="J1034" s="411"/>
    </row>
    <row r="1035" spans="9:10" ht="15">
      <c r="I1035" s="411"/>
      <c r="J1035" s="411"/>
    </row>
    <row r="1036" spans="9:10" ht="15">
      <c r="I1036" s="411"/>
      <c r="J1036" s="411"/>
    </row>
    <row r="1037" spans="9:10" ht="15">
      <c r="I1037" s="411"/>
      <c r="J1037" s="411"/>
    </row>
    <row r="1038" spans="9:10" ht="15">
      <c r="I1038" s="411"/>
      <c r="J1038" s="411"/>
    </row>
    <row r="1039" spans="9:10" ht="15">
      <c r="I1039" s="411"/>
      <c r="J1039" s="411"/>
    </row>
    <row r="1040" spans="9:10" ht="15">
      <c r="I1040" s="411"/>
      <c r="J1040" s="411"/>
    </row>
    <row r="1041" spans="9:10" ht="15">
      <c r="I1041" s="411"/>
      <c r="J1041" s="411"/>
    </row>
    <row r="1042" spans="9:10" ht="15">
      <c r="I1042" s="411"/>
      <c r="J1042" s="411"/>
    </row>
    <row r="1043" spans="9:10" ht="15">
      <c r="I1043" s="411"/>
      <c r="J1043" s="411"/>
    </row>
    <row r="1044" spans="9:10" ht="15">
      <c r="I1044" s="411"/>
      <c r="J1044" s="411"/>
    </row>
    <row r="1045" spans="9:10" ht="15">
      <c r="I1045" s="411"/>
      <c r="J1045" s="411"/>
    </row>
    <row r="1046" spans="9:10" ht="15">
      <c r="I1046" s="411"/>
      <c r="J1046" s="411"/>
    </row>
    <row r="1047" spans="9:10" ht="15">
      <c r="I1047" s="411"/>
      <c r="J1047" s="411"/>
    </row>
    <row r="1048" spans="9:10" ht="15">
      <c r="I1048" s="411"/>
      <c r="J1048" s="411"/>
    </row>
    <row r="1049" spans="9:10" ht="15">
      <c r="I1049" s="411"/>
      <c r="J1049" s="411"/>
    </row>
    <row r="1050" spans="9:10" ht="15">
      <c r="I1050" s="411"/>
      <c r="J1050" s="411"/>
    </row>
    <row r="1051" spans="9:10" ht="15">
      <c r="I1051" s="411"/>
      <c r="J1051" s="411"/>
    </row>
    <row r="1052" spans="9:10" ht="15">
      <c r="I1052" s="411"/>
      <c r="J1052" s="411"/>
    </row>
    <row r="1053" spans="9:10" ht="15">
      <c r="I1053" s="411"/>
      <c r="J1053" s="411"/>
    </row>
    <row r="1054" spans="9:10" ht="15">
      <c r="I1054" s="411"/>
      <c r="J1054" s="411"/>
    </row>
    <row r="1055" spans="9:10" ht="15">
      <c r="I1055" s="411"/>
      <c r="J1055" s="411"/>
    </row>
    <row r="1056" spans="9:10" ht="15">
      <c r="I1056" s="411"/>
      <c r="J1056" s="411"/>
    </row>
    <row r="1057" spans="9:10" ht="15">
      <c r="I1057" s="411"/>
      <c r="J1057" s="411"/>
    </row>
    <row r="1058" spans="9:10" ht="15">
      <c r="I1058" s="411"/>
      <c r="J1058" s="411"/>
    </row>
    <row r="1059" spans="9:10" ht="15">
      <c r="I1059" s="411"/>
      <c r="J1059" s="411"/>
    </row>
    <row r="1060" spans="9:10" ht="15">
      <c r="I1060" s="411"/>
      <c r="J1060" s="411"/>
    </row>
    <row r="1061" spans="9:10" ht="15">
      <c r="I1061" s="411"/>
      <c r="J1061" s="411"/>
    </row>
    <row r="1062" spans="9:10" ht="15">
      <c r="I1062" s="411"/>
      <c r="J1062" s="411"/>
    </row>
    <row r="1063" spans="9:10" ht="15">
      <c r="I1063" s="411"/>
      <c r="J1063" s="411"/>
    </row>
    <row r="1064" spans="9:10" ht="15">
      <c r="I1064" s="411"/>
      <c r="J1064" s="411"/>
    </row>
    <row r="1065" spans="9:10" ht="15">
      <c r="I1065" s="411"/>
      <c r="J1065" s="411"/>
    </row>
    <row r="1066" spans="9:10" ht="15">
      <c r="I1066" s="411"/>
      <c r="J1066" s="411"/>
    </row>
    <row r="1067" spans="9:10" ht="15">
      <c r="I1067" s="411"/>
      <c r="J1067" s="411"/>
    </row>
    <row r="1068" spans="9:10" ht="15">
      <c r="I1068" s="411"/>
      <c r="J1068" s="411"/>
    </row>
    <row r="1069" spans="9:10" ht="15">
      <c r="I1069" s="411"/>
      <c r="J1069" s="411"/>
    </row>
    <row r="1070" spans="9:10" ht="15">
      <c r="I1070" s="411"/>
      <c r="J1070" s="411"/>
    </row>
    <row r="1071" spans="9:10" ht="15">
      <c r="I1071" s="411"/>
      <c r="J1071" s="411"/>
    </row>
    <row r="1072" spans="9:10" ht="15">
      <c r="I1072" s="411"/>
      <c r="J1072" s="411"/>
    </row>
    <row r="1073" spans="9:10" ht="15">
      <c r="I1073" s="411"/>
      <c r="J1073" s="411"/>
    </row>
    <row r="1074" spans="9:10" ht="15">
      <c r="I1074" s="411"/>
      <c r="J1074" s="411"/>
    </row>
    <row r="1075" spans="9:10" ht="15">
      <c r="I1075" s="411"/>
      <c r="J1075" s="411"/>
    </row>
    <row r="1076" spans="9:10" ht="15">
      <c r="I1076" s="411"/>
      <c r="J1076" s="411"/>
    </row>
    <row r="1077" spans="9:10" ht="15">
      <c r="I1077" s="411"/>
      <c r="J1077" s="411"/>
    </row>
    <row r="1078" spans="9:10" ht="15">
      <c r="I1078" s="411"/>
      <c r="J1078" s="411"/>
    </row>
    <row r="1079" spans="9:10" ht="15">
      <c r="I1079" s="411"/>
      <c r="J1079" s="411"/>
    </row>
    <row r="1080" spans="9:10" ht="15">
      <c r="I1080" s="411"/>
      <c r="J1080" s="411"/>
    </row>
    <row r="1081" spans="9:10" ht="15">
      <c r="I1081" s="411"/>
      <c r="J1081" s="411"/>
    </row>
    <row r="1082" spans="9:10" ht="15">
      <c r="I1082" s="411"/>
      <c r="J1082" s="411"/>
    </row>
    <row r="1083" spans="9:10" ht="15">
      <c r="I1083" s="411"/>
      <c r="J1083" s="411"/>
    </row>
    <row r="1084" spans="9:10" ht="15">
      <c r="I1084" s="411"/>
      <c r="J1084" s="411"/>
    </row>
    <row r="1085" spans="9:10" ht="15">
      <c r="I1085" s="411"/>
      <c r="J1085" s="411"/>
    </row>
    <row r="1086" spans="9:10" ht="15">
      <c r="I1086" s="411"/>
      <c r="J1086" s="411"/>
    </row>
    <row r="1087" spans="9:10" ht="15">
      <c r="I1087" s="411"/>
      <c r="J1087" s="411"/>
    </row>
    <row r="1088" spans="9:10" ht="15">
      <c r="I1088" s="411"/>
      <c r="J1088" s="411"/>
    </row>
    <row r="1089" spans="9:10" ht="15">
      <c r="I1089" s="411"/>
      <c r="J1089" s="411"/>
    </row>
    <row r="1090" spans="9:10" ht="15">
      <c r="I1090" s="411"/>
      <c r="J1090" s="411"/>
    </row>
    <row r="1091" spans="9:10" ht="15">
      <c r="I1091" s="411"/>
      <c r="J1091" s="411"/>
    </row>
    <row r="1092" spans="9:10" ht="15">
      <c r="I1092" s="411"/>
      <c r="J1092" s="411"/>
    </row>
    <row r="1093" spans="9:10" ht="15">
      <c r="I1093" s="411"/>
      <c r="J1093" s="411"/>
    </row>
    <row r="1094" spans="9:10" ht="15">
      <c r="I1094" s="411"/>
      <c r="J1094" s="411"/>
    </row>
    <row r="1095" spans="9:10" ht="15">
      <c r="I1095" s="411"/>
      <c r="J1095" s="411"/>
    </row>
    <row r="1096" spans="9:10" ht="15">
      <c r="I1096" s="411"/>
      <c r="J1096" s="411"/>
    </row>
    <row r="1097" spans="9:10" ht="15">
      <c r="I1097" s="411"/>
      <c r="J1097" s="411"/>
    </row>
    <row r="1098" spans="9:10" ht="15">
      <c r="I1098" s="411"/>
      <c r="J1098" s="411"/>
    </row>
    <row r="1099" spans="9:10" ht="15">
      <c r="I1099" s="411"/>
      <c r="J1099" s="411"/>
    </row>
    <row r="1100" spans="9:10" ht="15">
      <c r="I1100" s="411"/>
      <c r="J1100" s="411"/>
    </row>
    <row r="1101" spans="9:10" ht="15">
      <c r="I1101" s="411"/>
      <c r="J1101" s="411"/>
    </row>
    <row r="1102" spans="9:10" ht="15">
      <c r="I1102" s="411"/>
      <c r="J1102" s="411"/>
    </row>
    <row r="1103" spans="9:10" ht="15">
      <c r="I1103" s="411"/>
      <c r="J1103" s="411"/>
    </row>
    <row r="1104" spans="9:10" ht="15">
      <c r="I1104" s="411"/>
      <c r="J1104" s="411"/>
    </row>
    <row r="1105" spans="9:10" ht="15">
      <c r="I1105" s="411"/>
      <c r="J1105" s="411"/>
    </row>
    <row r="1106" spans="9:10" ht="15">
      <c r="I1106" s="411"/>
      <c r="J1106" s="411"/>
    </row>
    <row r="1107" spans="9:10" ht="15">
      <c r="I1107" s="411"/>
      <c r="J1107" s="411"/>
    </row>
    <row r="1108" spans="9:10" ht="15">
      <c r="I1108" s="411"/>
      <c r="J1108" s="411"/>
    </row>
    <row r="1109" spans="9:10" ht="15">
      <c r="I1109" s="411"/>
      <c r="J1109" s="411"/>
    </row>
    <row r="1110" spans="9:10" ht="15">
      <c r="I1110" s="411"/>
      <c r="J1110" s="411"/>
    </row>
    <row r="1111" spans="9:10" ht="15">
      <c r="I1111" s="411"/>
      <c r="J1111" s="411"/>
    </row>
    <row r="1112" spans="9:10" ht="15">
      <c r="I1112" s="411"/>
      <c r="J1112" s="411"/>
    </row>
    <row r="1113" spans="9:10" ht="15">
      <c r="I1113" s="411"/>
      <c r="J1113" s="411"/>
    </row>
    <row r="1114" spans="9:10" ht="15">
      <c r="I1114" s="411"/>
      <c r="J1114" s="411"/>
    </row>
    <row r="1115" spans="9:10" ht="15">
      <c r="I1115" s="411"/>
      <c r="J1115" s="411"/>
    </row>
    <row r="1116" spans="9:10" ht="15">
      <c r="I1116" s="411"/>
      <c r="J1116" s="411"/>
    </row>
    <row r="1117" spans="9:10" ht="15">
      <c r="I1117" s="411"/>
      <c r="J1117" s="411"/>
    </row>
    <row r="1118" spans="9:10" ht="15">
      <c r="I1118" s="411"/>
      <c r="J1118" s="411"/>
    </row>
    <row r="1119" spans="9:10" ht="15">
      <c r="I1119" s="411"/>
      <c r="J1119" s="411"/>
    </row>
    <row r="1120" spans="9:10" ht="15">
      <c r="I1120" s="411"/>
      <c r="J1120" s="411"/>
    </row>
    <row r="1121" spans="9:10" ht="15">
      <c r="I1121" s="411"/>
      <c r="J1121" s="411"/>
    </row>
    <row r="1122" spans="9:10" ht="15">
      <c r="I1122" s="411"/>
      <c r="J1122" s="411"/>
    </row>
    <row r="1123" spans="9:10" ht="15">
      <c r="I1123" s="411"/>
      <c r="J1123" s="411"/>
    </row>
    <row r="1124" spans="9:10" ht="15">
      <c r="I1124" s="411"/>
      <c r="J1124" s="411"/>
    </row>
    <row r="1125" spans="9:10" ht="15">
      <c r="I1125" s="411"/>
      <c r="J1125" s="411"/>
    </row>
    <row r="1126" spans="9:10" ht="15">
      <c r="I1126" s="411"/>
      <c r="J1126" s="411"/>
    </row>
    <row r="1127" spans="9:10" ht="15">
      <c r="I1127" s="411"/>
      <c r="J1127" s="411"/>
    </row>
    <row r="1128" spans="9:10" ht="15">
      <c r="I1128" s="411"/>
      <c r="J1128" s="411"/>
    </row>
    <row r="1129" spans="9:10" ht="15">
      <c r="I1129" s="411"/>
      <c r="J1129" s="411"/>
    </row>
    <row r="1130" spans="9:10" ht="15">
      <c r="I1130" s="411"/>
      <c r="J1130" s="411"/>
    </row>
    <row r="1131" spans="9:10" ht="15">
      <c r="I1131" s="411"/>
      <c r="J1131" s="411"/>
    </row>
    <row r="1132" spans="9:10" ht="15">
      <c r="I1132" s="411"/>
      <c r="J1132" s="411"/>
    </row>
    <row r="1133" spans="9:10" ht="15">
      <c r="I1133" s="411"/>
      <c r="J1133" s="411"/>
    </row>
    <row r="1134" spans="9:10" ht="15">
      <c r="I1134" s="411"/>
      <c r="J1134" s="411"/>
    </row>
    <row r="1135" spans="9:10" ht="15">
      <c r="I1135" s="411"/>
      <c r="J1135" s="411"/>
    </row>
    <row r="1136" spans="9:10" ht="15">
      <c r="I1136" s="411"/>
      <c r="J1136" s="411"/>
    </row>
    <row r="1137" spans="9:10" ht="15">
      <c r="I1137" s="411"/>
      <c r="J1137" s="411"/>
    </row>
    <row r="1138" spans="9:10" ht="15">
      <c r="I1138" s="411"/>
      <c r="J1138" s="411"/>
    </row>
    <row r="1139" spans="9:10" ht="15">
      <c r="I1139" s="411"/>
      <c r="J1139" s="411"/>
    </row>
    <row r="1140" spans="9:10" ht="15">
      <c r="I1140" s="411"/>
      <c r="J1140" s="411"/>
    </row>
    <row r="1141" spans="9:10" ht="15">
      <c r="I1141" s="411"/>
      <c r="J1141" s="411"/>
    </row>
    <row r="1142" spans="9:10" ht="15">
      <c r="I1142" s="411"/>
      <c r="J1142" s="411"/>
    </row>
    <row r="1143" spans="9:10" ht="15">
      <c r="I1143" s="411"/>
      <c r="J1143" s="411"/>
    </row>
    <row r="1144" spans="9:10" ht="15">
      <c r="I1144" s="411"/>
      <c r="J1144" s="411"/>
    </row>
    <row r="1145" spans="9:10" ht="15">
      <c r="I1145" s="411"/>
      <c r="J1145" s="411"/>
    </row>
    <row r="1146" spans="9:10" ht="15">
      <c r="I1146" s="411"/>
      <c r="J1146" s="411"/>
    </row>
    <row r="1147" spans="9:10" ht="15">
      <c r="I1147" s="411"/>
      <c r="J1147" s="411"/>
    </row>
    <row r="1148" spans="9:10" ht="15">
      <c r="I1148" s="411"/>
      <c r="J1148" s="411"/>
    </row>
    <row r="1149" spans="9:10" ht="15">
      <c r="I1149" s="411"/>
      <c r="J1149" s="411"/>
    </row>
    <row r="1150" spans="9:10" ht="15">
      <c r="I1150" s="411"/>
      <c r="J1150" s="411"/>
    </row>
    <row r="1151" spans="9:10" ht="15">
      <c r="I1151" s="411"/>
      <c r="J1151" s="411"/>
    </row>
    <row r="1152" spans="9:10" ht="15">
      <c r="I1152" s="411"/>
      <c r="J1152" s="411"/>
    </row>
    <row r="1153" spans="9:10" ht="15">
      <c r="I1153" s="411"/>
      <c r="J1153" s="411"/>
    </row>
    <row r="1154" spans="9:10" ht="15">
      <c r="I1154" s="411"/>
      <c r="J1154" s="411"/>
    </row>
    <row r="1155" spans="9:10" ht="15">
      <c r="I1155" s="411"/>
      <c r="J1155" s="411"/>
    </row>
    <row r="1156" spans="9:10" ht="15">
      <c r="I1156" s="411"/>
      <c r="J1156" s="411"/>
    </row>
    <row r="1157" spans="9:10" ht="15">
      <c r="I1157" s="411"/>
      <c r="J1157" s="411"/>
    </row>
    <row r="1158" spans="9:10" ht="15">
      <c r="I1158" s="411"/>
      <c r="J1158" s="411"/>
    </row>
    <row r="1159" spans="9:10" ht="15">
      <c r="I1159" s="411"/>
      <c r="J1159" s="411"/>
    </row>
    <row r="1160" spans="9:10" ht="15">
      <c r="I1160" s="411"/>
      <c r="J1160" s="411"/>
    </row>
    <row r="1161" spans="9:10" ht="15">
      <c r="I1161" s="411"/>
      <c r="J1161" s="411"/>
    </row>
    <row r="1162" spans="9:10" ht="15">
      <c r="I1162" s="411"/>
      <c r="J1162" s="411"/>
    </row>
    <row r="1163" spans="9:10" ht="15">
      <c r="I1163" s="411"/>
      <c r="J1163" s="411"/>
    </row>
    <row r="1164" spans="9:10" ht="15">
      <c r="I1164" s="411"/>
      <c r="J1164" s="411"/>
    </row>
    <row r="1165" spans="9:10" ht="15">
      <c r="I1165" s="411"/>
      <c r="J1165" s="411"/>
    </row>
    <row r="1166" spans="9:10" ht="15">
      <c r="I1166" s="411"/>
      <c r="J1166" s="411"/>
    </row>
    <row r="1167" spans="9:10" ht="15">
      <c r="I1167" s="411"/>
      <c r="J1167" s="411"/>
    </row>
    <row r="1168" spans="9:10" ht="15">
      <c r="I1168" s="411"/>
      <c r="J1168" s="411"/>
    </row>
    <row r="1169" spans="9:10" ht="15">
      <c r="I1169" s="411"/>
      <c r="J1169" s="411"/>
    </row>
    <row r="1170" spans="9:10" ht="15">
      <c r="I1170" s="411"/>
      <c r="J1170" s="411"/>
    </row>
    <row r="1171" spans="9:10" ht="15">
      <c r="I1171" s="411"/>
      <c r="J1171" s="411"/>
    </row>
    <row r="1172" spans="9:10" ht="15">
      <c r="I1172" s="411"/>
      <c r="J1172" s="411"/>
    </row>
    <row r="1173" spans="9:10" ht="15">
      <c r="I1173" s="411"/>
      <c r="J1173" s="411"/>
    </row>
    <row r="1174" spans="9:10" ht="15">
      <c r="I1174" s="411"/>
      <c r="J1174" s="411"/>
    </row>
    <row r="1175" spans="9:10" ht="15">
      <c r="I1175" s="411"/>
      <c r="J1175" s="411"/>
    </row>
    <row r="1176" spans="9:10" ht="15">
      <c r="I1176" s="411"/>
      <c r="J1176" s="411"/>
    </row>
    <row r="1177" spans="9:10" ht="15">
      <c r="I1177" s="411"/>
      <c r="J1177" s="411"/>
    </row>
    <row r="1178" spans="9:10" ht="15">
      <c r="I1178" s="411"/>
      <c r="J1178" s="411"/>
    </row>
    <row r="1179" spans="9:10" ht="15">
      <c r="I1179" s="411"/>
      <c r="J1179" s="411"/>
    </row>
  </sheetData>
  <sheetProtection/>
  <mergeCells count="11">
    <mergeCell ref="A960:J960"/>
    <mergeCell ref="A13:J13"/>
    <mergeCell ref="A16:A17"/>
    <mergeCell ref="B16:E16"/>
    <mergeCell ref="G16:G17"/>
    <mergeCell ref="I16:J16"/>
    <mergeCell ref="A10:J10"/>
    <mergeCell ref="A11:J11"/>
    <mergeCell ref="A12:J12"/>
    <mergeCell ref="H16:H17"/>
    <mergeCell ref="F16:F17"/>
  </mergeCells>
  <printOptions horizontalCentered="1"/>
  <pageMargins left="0.2" right="0.25" top="0.4330708661417323" bottom="0.6299212598425197" header="0.3937007874015748" footer="0.3937007874015748"/>
  <pageSetup firstPageNumber="19" useFirstPageNumber="1" fitToHeight="0" fitToWidth="1" horizontalDpi="600" verticalDpi="600" orientation="landscape" paperSize="9" r:id="rId3"/>
  <headerFooter alignWithMargins="0">
    <oddFooter>&amp;R&amp;P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987"/>
  <sheetViews>
    <sheetView zoomScale="75" zoomScaleNormal="75" workbookViewId="0" topLeftCell="A5">
      <selection activeCell="A10" sqref="A10:L10"/>
    </sheetView>
  </sheetViews>
  <sheetFormatPr defaultColWidth="9.50390625" defaultRowHeight="12.75"/>
  <cols>
    <col min="1" max="1" width="55.00390625" style="352" customWidth="1"/>
    <col min="2" max="2" width="4.50390625" style="353" customWidth="1"/>
    <col min="3" max="4" width="3.50390625" style="353" customWidth="1"/>
    <col min="5" max="5" width="9.50390625" style="353" customWidth="1"/>
    <col min="6" max="6" width="3.50390625" style="353" customWidth="1"/>
    <col min="7" max="7" width="15.75390625" style="452" customWidth="1"/>
    <col min="8" max="8" width="18.125" style="430" customWidth="1"/>
    <col min="9" max="9" width="13.50390625" style="415" hidden="1" customWidth="1"/>
    <col min="10" max="10" width="14.00390625" style="458" customWidth="1"/>
    <col min="11" max="12" width="14.50390625" style="459" customWidth="1"/>
    <col min="13" max="15" width="9.50390625" style="355" customWidth="1"/>
    <col min="16" max="16" width="7.50390625" style="355" customWidth="1"/>
    <col min="17" max="17" width="12.50390625" style="355" customWidth="1"/>
    <col min="18" max="18" width="13.50390625" style="233" customWidth="1"/>
    <col min="19" max="19" width="7.50390625" style="233" customWidth="1"/>
    <col min="20" max="20" width="15.50390625" style="233" customWidth="1"/>
    <col min="21" max="21" width="7.00390625" style="233" customWidth="1"/>
    <col min="22" max="22" width="18.00390625" style="233" customWidth="1"/>
    <col min="23" max="16384" width="9.50390625" style="233" customWidth="1"/>
  </cols>
  <sheetData>
    <row r="1" ht="15" hidden="1">
      <c r="B1" s="358"/>
    </row>
    <row r="2" spans="2:8" ht="15" hidden="1">
      <c r="B2" s="546" t="s">
        <v>206</v>
      </c>
      <c r="C2" s="546"/>
      <c r="D2" s="546"/>
      <c r="E2" s="546"/>
      <c r="F2" s="546"/>
      <c r="G2" s="546"/>
      <c r="H2" s="546"/>
    </row>
    <row r="3" spans="2:8" ht="15" hidden="1">
      <c r="B3" s="546" t="s">
        <v>207</v>
      </c>
      <c r="C3" s="546"/>
      <c r="D3" s="546"/>
      <c r="E3" s="546"/>
      <c r="F3" s="546"/>
      <c r="G3" s="546"/>
      <c r="H3" s="546"/>
    </row>
    <row r="4" spans="2:8" ht="15" hidden="1">
      <c r="B4" s="547" t="s">
        <v>208</v>
      </c>
      <c r="C4" s="547"/>
      <c r="D4" s="547"/>
      <c r="E4" s="547"/>
      <c r="F4" s="547"/>
      <c r="G4" s="547"/>
      <c r="H4" s="547"/>
    </row>
    <row r="5" spans="2:12" ht="11.25" customHeight="1">
      <c r="B5" s="412"/>
      <c r="J5" s="430"/>
      <c r="K5" s="430"/>
      <c r="L5" s="430"/>
    </row>
    <row r="6" spans="3:12" ht="13.5" customHeight="1">
      <c r="C6" s="472"/>
      <c r="D6" s="472"/>
      <c r="E6" s="472"/>
      <c r="F6" s="472"/>
      <c r="G6" s="472"/>
      <c r="H6" s="472"/>
      <c r="J6" s="472"/>
      <c r="K6" s="472" t="s">
        <v>1270</v>
      </c>
      <c r="L6" s="430"/>
    </row>
    <row r="7" spans="3:12" ht="17.25" customHeight="1">
      <c r="C7" s="472"/>
      <c r="D7" s="472"/>
      <c r="E7" s="472"/>
      <c r="F7" s="472"/>
      <c r="G7" s="472"/>
      <c r="H7" s="472"/>
      <c r="J7" s="472"/>
      <c r="K7" s="472" t="s">
        <v>912</v>
      </c>
      <c r="L7" s="430"/>
    </row>
    <row r="8" spans="3:12" ht="13.5" customHeight="1">
      <c r="C8" s="473"/>
      <c r="D8" s="473"/>
      <c r="E8" s="473"/>
      <c r="F8" s="473"/>
      <c r="G8" s="473"/>
      <c r="H8" s="473"/>
      <c r="J8" s="472"/>
      <c r="K8" s="473" t="s">
        <v>1497</v>
      </c>
      <c r="L8" s="430"/>
    </row>
    <row r="9" spans="1:12" ht="15.75" customHeight="1">
      <c r="A9" s="530" t="s">
        <v>237</v>
      </c>
      <c r="B9" s="530"/>
      <c r="C9" s="530"/>
      <c r="D9" s="530"/>
      <c r="E9" s="530"/>
      <c r="F9" s="530"/>
      <c r="G9" s="530"/>
      <c r="H9" s="530"/>
      <c r="I9" s="530"/>
      <c r="J9" s="530"/>
      <c r="K9" s="530"/>
      <c r="L9" s="530"/>
    </row>
    <row r="10" spans="1:12" ht="15.75">
      <c r="A10" s="550" t="s">
        <v>238</v>
      </c>
      <c r="B10" s="550"/>
      <c r="C10" s="550"/>
      <c r="D10" s="550"/>
      <c r="E10" s="550"/>
      <c r="F10" s="550"/>
      <c r="G10" s="550"/>
      <c r="H10" s="550"/>
      <c r="I10" s="550"/>
      <c r="J10" s="550"/>
      <c r="K10" s="550"/>
      <c r="L10" s="550"/>
    </row>
    <row r="11" spans="1:12" ht="15" customHeight="1" thickBot="1">
      <c r="A11" s="233"/>
      <c r="B11" s="413"/>
      <c r="C11" s="357"/>
      <c r="D11" s="357"/>
      <c r="E11" s="357"/>
      <c r="F11" s="233"/>
      <c r="G11" s="453"/>
      <c r="J11" s="430"/>
      <c r="K11" s="430"/>
      <c r="L11" s="431" t="s">
        <v>1493</v>
      </c>
    </row>
    <row r="12" spans="1:12" ht="15" customHeight="1">
      <c r="A12" s="554" t="s">
        <v>240</v>
      </c>
      <c r="B12" s="553"/>
      <c r="C12" s="553"/>
      <c r="D12" s="553"/>
      <c r="E12" s="553"/>
      <c r="F12" s="553"/>
      <c r="G12" s="556" t="s">
        <v>671</v>
      </c>
      <c r="H12" s="544" t="s">
        <v>1170</v>
      </c>
      <c r="I12" s="470"/>
      <c r="J12" s="548" t="s">
        <v>933</v>
      </c>
      <c r="K12" s="551" t="s">
        <v>559</v>
      </c>
      <c r="L12" s="552"/>
    </row>
    <row r="13" spans="1:17" s="366" customFormat="1" ht="42.75" customHeight="1" thickBot="1">
      <c r="A13" s="555"/>
      <c r="B13" s="428" t="s">
        <v>678</v>
      </c>
      <c r="C13" s="427" t="s">
        <v>1171</v>
      </c>
      <c r="D13" s="427" t="s">
        <v>1172</v>
      </c>
      <c r="E13" s="427" t="s">
        <v>1173</v>
      </c>
      <c r="F13" s="429" t="s">
        <v>1174</v>
      </c>
      <c r="G13" s="557"/>
      <c r="H13" s="545"/>
      <c r="I13" s="471"/>
      <c r="J13" s="549"/>
      <c r="K13" s="494" t="s">
        <v>560</v>
      </c>
      <c r="L13" s="494" t="s">
        <v>561</v>
      </c>
      <c r="M13" s="364"/>
      <c r="N13" s="364"/>
      <c r="O13" s="364"/>
      <c r="P13" s="364"/>
      <c r="Q13" s="364"/>
    </row>
    <row r="14" spans="1:18" ht="20.25" customHeight="1">
      <c r="A14" s="425" t="s">
        <v>1103</v>
      </c>
      <c r="B14" s="426"/>
      <c r="C14" s="426"/>
      <c r="D14" s="426"/>
      <c r="E14" s="426"/>
      <c r="F14" s="426"/>
      <c r="G14" s="432">
        <f>G15+G245+G333+G476+G941+G962+G973</f>
        <v>4345428</v>
      </c>
      <c r="H14" s="432">
        <f>H15+H245+H333+H476+H941+H962+H973</f>
        <v>5193462.6</v>
      </c>
      <c r="I14" s="433">
        <v>3464482</v>
      </c>
      <c r="J14" s="432">
        <f>J15+J245+J333+J476+J941+J962+J973</f>
        <v>4911921.399999999</v>
      </c>
      <c r="K14" s="474">
        <f aca="true" t="shared" si="0" ref="K14:K26">J14/G14*100</f>
        <v>113.03653863324854</v>
      </c>
      <c r="L14" s="474">
        <f aca="true" t="shared" si="1" ref="L14:L35">J14/H14*100</f>
        <v>94.57893082738286</v>
      </c>
      <c r="Q14" s="372"/>
      <c r="R14" s="414"/>
    </row>
    <row r="15" spans="1:12" ht="17.25" customHeight="1">
      <c r="A15" s="49" t="s">
        <v>1181</v>
      </c>
      <c r="B15" s="50" t="s">
        <v>684</v>
      </c>
      <c r="C15" s="50"/>
      <c r="D15" s="50"/>
      <c r="E15" s="50"/>
      <c r="F15" s="50"/>
      <c r="G15" s="434">
        <f>G16+G233</f>
        <v>2052240</v>
      </c>
      <c r="H15" s="434">
        <f>H16+H233</f>
        <v>2206707.1000000006</v>
      </c>
      <c r="J15" s="434">
        <f>J16+J233</f>
        <v>2156919.6999999997</v>
      </c>
      <c r="K15" s="51">
        <f t="shared" si="0"/>
        <v>105.10075332319806</v>
      </c>
      <c r="L15" s="51">
        <f t="shared" si="1"/>
        <v>97.74381475457251</v>
      </c>
    </row>
    <row r="16" spans="1:12" ht="15.75">
      <c r="A16" s="124" t="s">
        <v>1138</v>
      </c>
      <c r="B16" s="52" t="s">
        <v>684</v>
      </c>
      <c r="C16" s="69" t="s">
        <v>418</v>
      </c>
      <c r="D16" s="70"/>
      <c r="E16" s="70"/>
      <c r="F16" s="70"/>
      <c r="G16" s="435">
        <f>G17+G46+G177+G184+G199</f>
        <v>2010452</v>
      </c>
      <c r="H16" s="435">
        <f>H17+H46+H177+H184+H199</f>
        <v>2169452.1000000006</v>
      </c>
      <c r="J16" s="435">
        <f>J17+J46+J177+J184+J199</f>
        <v>2129950.3</v>
      </c>
      <c r="K16" s="460">
        <f t="shared" si="0"/>
        <v>105.94385242721536</v>
      </c>
      <c r="L16" s="460">
        <f t="shared" si="1"/>
        <v>98.17918081712887</v>
      </c>
    </row>
    <row r="17" spans="1:12" ht="15.75">
      <c r="A17" s="61" t="s">
        <v>1086</v>
      </c>
      <c r="B17" s="52" t="s">
        <v>684</v>
      </c>
      <c r="C17" s="55" t="s">
        <v>418</v>
      </c>
      <c r="D17" s="55" t="s">
        <v>1105</v>
      </c>
      <c r="E17" s="59"/>
      <c r="F17" s="59"/>
      <c r="G17" s="436">
        <f>G18</f>
        <v>698244</v>
      </c>
      <c r="H17" s="436">
        <f>H18</f>
        <v>731795.1000000001</v>
      </c>
      <c r="J17" s="436">
        <f>J18</f>
        <v>719088.8999999999</v>
      </c>
      <c r="K17" s="460">
        <f t="shared" si="0"/>
        <v>102.98533177513876</v>
      </c>
      <c r="L17" s="460">
        <f t="shared" si="1"/>
        <v>98.26369430459425</v>
      </c>
    </row>
    <row r="18" spans="1:12" ht="24">
      <c r="A18" s="56" t="s">
        <v>241</v>
      </c>
      <c r="B18" s="52" t="s">
        <v>684</v>
      </c>
      <c r="C18" s="55" t="s">
        <v>418</v>
      </c>
      <c r="D18" s="55" t="s">
        <v>1105</v>
      </c>
      <c r="E18" s="55" t="s">
        <v>1228</v>
      </c>
      <c r="F18" s="59"/>
      <c r="G18" s="436">
        <f>G19+G30</f>
        <v>698244</v>
      </c>
      <c r="H18" s="436">
        <f>H19+H30</f>
        <v>731795.1000000001</v>
      </c>
      <c r="J18" s="436">
        <f>J19+J30</f>
        <v>719088.8999999999</v>
      </c>
      <c r="K18" s="475">
        <f t="shared" si="0"/>
        <v>102.98533177513876</v>
      </c>
      <c r="L18" s="475">
        <f t="shared" si="1"/>
        <v>98.26369430459425</v>
      </c>
    </row>
    <row r="19" spans="1:12" ht="41.25" customHeight="1">
      <c r="A19" s="57" t="s">
        <v>1229</v>
      </c>
      <c r="B19" s="52" t="s">
        <v>684</v>
      </c>
      <c r="C19" s="55" t="s">
        <v>418</v>
      </c>
      <c r="D19" s="55" t="s">
        <v>1105</v>
      </c>
      <c r="E19" s="55" t="s">
        <v>265</v>
      </c>
      <c r="F19" s="55"/>
      <c r="G19" s="436">
        <f>G20+G24+G27</f>
        <v>397078</v>
      </c>
      <c r="H19" s="436">
        <f>H20+H24+H27</f>
        <v>409085</v>
      </c>
      <c r="J19" s="436">
        <f>J20+J24+J27</f>
        <v>404081</v>
      </c>
      <c r="K19" s="475">
        <f t="shared" si="0"/>
        <v>101.7636333415601</v>
      </c>
      <c r="L19" s="475">
        <f t="shared" si="1"/>
        <v>98.77678233130034</v>
      </c>
    </row>
    <row r="20" spans="1:12" ht="84">
      <c r="A20" s="378" t="s">
        <v>1231</v>
      </c>
      <c r="B20" s="52" t="s">
        <v>684</v>
      </c>
      <c r="C20" s="55" t="s">
        <v>418</v>
      </c>
      <c r="D20" s="55" t="s">
        <v>1105</v>
      </c>
      <c r="E20" s="55" t="s">
        <v>1230</v>
      </c>
      <c r="F20" s="55" t="s">
        <v>920</v>
      </c>
      <c r="G20" s="436">
        <f>G21</f>
        <v>392989</v>
      </c>
      <c r="H20" s="436">
        <f>H21</f>
        <v>403940</v>
      </c>
      <c r="J20" s="436">
        <f>J21</f>
        <v>401451</v>
      </c>
      <c r="K20" s="475">
        <f t="shared" si="0"/>
        <v>102.15324093040772</v>
      </c>
      <c r="L20" s="475">
        <f t="shared" si="1"/>
        <v>99.3838193791157</v>
      </c>
    </row>
    <row r="21" spans="1:12" ht="27.75" customHeight="1">
      <c r="A21" s="62" t="s">
        <v>139</v>
      </c>
      <c r="B21" s="52" t="s">
        <v>684</v>
      </c>
      <c r="C21" s="55" t="s">
        <v>418</v>
      </c>
      <c r="D21" s="55" t="s">
        <v>1105</v>
      </c>
      <c r="E21" s="55" t="s">
        <v>1230</v>
      </c>
      <c r="F21" s="55" t="s">
        <v>1454</v>
      </c>
      <c r="G21" s="436">
        <f>G22+G23</f>
        <v>392989</v>
      </c>
      <c r="H21" s="436">
        <f>H22+H23</f>
        <v>403940</v>
      </c>
      <c r="J21" s="436">
        <f>J22+J23</f>
        <v>401451</v>
      </c>
      <c r="K21" s="475">
        <f t="shared" si="0"/>
        <v>102.15324093040772</v>
      </c>
      <c r="L21" s="475">
        <f t="shared" si="1"/>
        <v>99.3838193791157</v>
      </c>
    </row>
    <row r="22" spans="1:12" ht="16.5" customHeight="1">
      <c r="A22" s="57" t="s">
        <v>553</v>
      </c>
      <c r="B22" s="52" t="s">
        <v>684</v>
      </c>
      <c r="C22" s="55" t="s">
        <v>418</v>
      </c>
      <c r="D22" s="55" t="s">
        <v>1105</v>
      </c>
      <c r="E22" s="55" t="s">
        <v>1230</v>
      </c>
      <c r="F22" s="55" t="s">
        <v>554</v>
      </c>
      <c r="G22" s="437">
        <v>23482</v>
      </c>
      <c r="H22" s="437">
        <v>23482</v>
      </c>
      <c r="J22" s="437">
        <v>22817.9</v>
      </c>
      <c r="K22" s="475">
        <f t="shared" si="0"/>
        <v>97.17187633080658</v>
      </c>
      <c r="L22" s="475">
        <f t="shared" si="1"/>
        <v>97.17187633080658</v>
      </c>
    </row>
    <row r="23" spans="1:12" ht="16.5" customHeight="1">
      <c r="A23" s="57" t="s">
        <v>447</v>
      </c>
      <c r="B23" s="52" t="s">
        <v>684</v>
      </c>
      <c r="C23" s="55" t="s">
        <v>418</v>
      </c>
      <c r="D23" s="55" t="s">
        <v>1105</v>
      </c>
      <c r="E23" s="55" t="s">
        <v>1230</v>
      </c>
      <c r="F23" s="55" t="s">
        <v>446</v>
      </c>
      <c r="G23" s="437">
        <f>369507</f>
        <v>369507</v>
      </c>
      <c r="H23" s="437">
        <f>369507+10240+541-194+364</f>
        <v>380458</v>
      </c>
      <c r="J23" s="437">
        <v>378633.1</v>
      </c>
      <c r="K23" s="475">
        <f t="shared" si="0"/>
        <v>102.46980436094579</v>
      </c>
      <c r="L23" s="475">
        <f t="shared" si="1"/>
        <v>99.52034127288688</v>
      </c>
    </row>
    <row r="24" spans="1:12" ht="69.75" customHeight="1">
      <c r="A24" s="379" t="s">
        <v>260</v>
      </c>
      <c r="B24" s="52" t="s">
        <v>684</v>
      </c>
      <c r="C24" s="55" t="s">
        <v>418</v>
      </c>
      <c r="D24" s="55" t="s">
        <v>1105</v>
      </c>
      <c r="E24" s="55" t="s">
        <v>261</v>
      </c>
      <c r="F24" s="55"/>
      <c r="G24" s="436">
        <f>G25</f>
        <v>4089</v>
      </c>
      <c r="H24" s="436">
        <f>H25</f>
        <v>4645</v>
      </c>
      <c r="J24" s="436">
        <f>J25</f>
        <v>2130</v>
      </c>
      <c r="K24" s="475">
        <f t="shared" si="0"/>
        <v>52.0909757887014</v>
      </c>
      <c r="L24" s="475">
        <f t="shared" si="1"/>
        <v>45.85575888051668</v>
      </c>
    </row>
    <row r="25" spans="1:12" ht="27.75" customHeight="1">
      <c r="A25" s="62" t="s">
        <v>139</v>
      </c>
      <c r="B25" s="52" t="s">
        <v>684</v>
      </c>
      <c r="C25" s="55" t="s">
        <v>418</v>
      </c>
      <c r="D25" s="55" t="s">
        <v>1105</v>
      </c>
      <c r="E25" s="55" t="s">
        <v>261</v>
      </c>
      <c r="F25" s="55" t="s">
        <v>1454</v>
      </c>
      <c r="G25" s="436">
        <f>G26</f>
        <v>4089</v>
      </c>
      <c r="H25" s="436">
        <f>H26</f>
        <v>4645</v>
      </c>
      <c r="J25" s="436">
        <f>J26</f>
        <v>2130</v>
      </c>
      <c r="K25" s="475">
        <f t="shared" si="0"/>
        <v>52.0909757887014</v>
      </c>
      <c r="L25" s="475">
        <f t="shared" si="1"/>
        <v>45.85575888051668</v>
      </c>
    </row>
    <row r="26" spans="1:12" ht="28.5" customHeight="1">
      <c r="A26" s="380" t="s">
        <v>262</v>
      </c>
      <c r="B26" s="52" t="s">
        <v>684</v>
      </c>
      <c r="C26" s="55" t="s">
        <v>418</v>
      </c>
      <c r="D26" s="55" t="s">
        <v>1105</v>
      </c>
      <c r="E26" s="55" t="s">
        <v>261</v>
      </c>
      <c r="F26" s="55" t="s">
        <v>404</v>
      </c>
      <c r="G26" s="437">
        <f>4089</f>
        <v>4089</v>
      </c>
      <c r="H26" s="437">
        <f>4089+108-1656-411+2515</f>
        <v>4645</v>
      </c>
      <c r="J26" s="437">
        <v>2130</v>
      </c>
      <c r="K26" s="475">
        <f t="shared" si="0"/>
        <v>52.0909757887014</v>
      </c>
      <c r="L26" s="475">
        <f t="shared" si="1"/>
        <v>45.85575888051668</v>
      </c>
    </row>
    <row r="27" spans="1:12" ht="72">
      <c r="A27" s="380" t="s">
        <v>263</v>
      </c>
      <c r="B27" s="52" t="s">
        <v>684</v>
      </c>
      <c r="C27" s="55" t="s">
        <v>418</v>
      </c>
      <c r="D27" s="55" t="s">
        <v>1105</v>
      </c>
      <c r="E27" s="55" t="s">
        <v>264</v>
      </c>
      <c r="F27" s="55" t="s">
        <v>920</v>
      </c>
      <c r="G27" s="436">
        <f>G28</f>
        <v>0</v>
      </c>
      <c r="H27" s="436">
        <f>H28</f>
        <v>500</v>
      </c>
      <c r="J27" s="436">
        <f>J28</f>
        <v>500</v>
      </c>
      <c r="K27" s="475">
        <v>0</v>
      </c>
      <c r="L27" s="475">
        <f t="shared" si="1"/>
        <v>100</v>
      </c>
    </row>
    <row r="28" spans="1:12" ht="25.5" customHeight="1">
      <c r="A28" s="62" t="s">
        <v>139</v>
      </c>
      <c r="B28" s="52" t="s">
        <v>684</v>
      </c>
      <c r="C28" s="55" t="s">
        <v>418</v>
      </c>
      <c r="D28" s="55" t="s">
        <v>1105</v>
      </c>
      <c r="E28" s="55" t="s">
        <v>264</v>
      </c>
      <c r="F28" s="55" t="s">
        <v>1454</v>
      </c>
      <c r="G28" s="436">
        <f>G29</f>
        <v>0</v>
      </c>
      <c r="H28" s="436">
        <f>H29</f>
        <v>500</v>
      </c>
      <c r="J28" s="436">
        <f>J29</f>
        <v>500</v>
      </c>
      <c r="K28" s="475">
        <v>0</v>
      </c>
      <c r="L28" s="475">
        <f t="shared" si="1"/>
        <v>100</v>
      </c>
    </row>
    <row r="29" spans="1:12" ht="27.75" customHeight="1">
      <c r="A29" s="57" t="s">
        <v>1289</v>
      </c>
      <c r="B29" s="52" t="s">
        <v>684</v>
      </c>
      <c r="C29" s="55" t="s">
        <v>418</v>
      </c>
      <c r="D29" s="55" t="s">
        <v>1105</v>
      </c>
      <c r="E29" s="55" t="s">
        <v>264</v>
      </c>
      <c r="F29" s="55" t="s">
        <v>446</v>
      </c>
      <c r="G29" s="437">
        <v>0</v>
      </c>
      <c r="H29" s="437">
        <v>500</v>
      </c>
      <c r="J29" s="437">
        <v>500</v>
      </c>
      <c r="K29" s="475">
        <v>0</v>
      </c>
      <c r="L29" s="475">
        <f t="shared" si="1"/>
        <v>100</v>
      </c>
    </row>
    <row r="30" spans="1:12" ht="30" customHeight="1">
      <c r="A30" s="56" t="s">
        <v>241</v>
      </c>
      <c r="B30" s="52" t="s">
        <v>684</v>
      </c>
      <c r="C30" s="55" t="s">
        <v>418</v>
      </c>
      <c r="D30" s="55" t="s">
        <v>1105</v>
      </c>
      <c r="E30" s="55" t="s">
        <v>1228</v>
      </c>
      <c r="F30" s="59"/>
      <c r="G30" s="436">
        <f>G31+G37</f>
        <v>301166</v>
      </c>
      <c r="H30" s="436">
        <f>H31+H37</f>
        <v>322710.10000000003</v>
      </c>
      <c r="J30" s="436">
        <f>J31+J37</f>
        <v>315007.89999999997</v>
      </c>
      <c r="K30" s="475">
        <f>J30/G30*100</f>
        <v>104.59610314577341</v>
      </c>
      <c r="L30" s="475">
        <f t="shared" si="1"/>
        <v>97.61327581628214</v>
      </c>
    </row>
    <row r="31" spans="1:12" ht="38.25" customHeight="1">
      <c r="A31" s="57" t="s">
        <v>1229</v>
      </c>
      <c r="B31" s="52" t="s">
        <v>684</v>
      </c>
      <c r="C31" s="55" t="s">
        <v>418</v>
      </c>
      <c r="D31" s="55" t="s">
        <v>1105</v>
      </c>
      <c r="E31" s="55" t="s">
        <v>266</v>
      </c>
      <c r="F31" s="55" t="s">
        <v>920</v>
      </c>
      <c r="G31" s="436">
        <f>G32</f>
        <v>301166</v>
      </c>
      <c r="H31" s="436">
        <f>H32</f>
        <v>299151.4</v>
      </c>
      <c r="J31" s="436">
        <f>J32</f>
        <v>291671.3</v>
      </c>
      <c r="K31" s="475">
        <f>J31/G31*100</f>
        <v>96.84735328689162</v>
      </c>
      <c r="L31" s="475">
        <f t="shared" si="1"/>
        <v>97.49956042325056</v>
      </c>
    </row>
    <row r="32" spans="1:12" ht="38.25" customHeight="1">
      <c r="A32" s="62" t="s">
        <v>139</v>
      </c>
      <c r="B32" s="52" t="s">
        <v>684</v>
      </c>
      <c r="C32" s="55" t="s">
        <v>418</v>
      </c>
      <c r="D32" s="55" t="s">
        <v>1105</v>
      </c>
      <c r="E32" s="55" t="s">
        <v>266</v>
      </c>
      <c r="F32" s="55" t="s">
        <v>1454</v>
      </c>
      <c r="G32" s="436">
        <f>G33+G34</f>
        <v>301166</v>
      </c>
      <c r="H32" s="436">
        <f>H33+H34</f>
        <v>299151.4</v>
      </c>
      <c r="J32" s="436">
        <f>J33+J34</f>
        <v>291671.3</v>
      </c>
      <c r="K32" s="475">
        <f>J32/G32*100</f>
        <v>96.84735328689162</v>
      </c>
      <c r="L32" s="475">
        <f t="shared" si="1"/>
        <v>97.49956042325056</v>
      </c>
    </row>
    <row r="33" spans="1:12" ht="24">
      <c r="A33" s="57" t="s">
        <v>141</v>
      </c>
      <c r="B33" s="52" t="s">
        <v>684</v>
      </c>
      <c r="C33" s="55" t="s">
        <v>418</v>
      </c>
      <c r="D33" s="55" t="s">
        <v>1105</v>
      </c>
      <c r="E33" s="55" t="s">
        <v>266</v>
      </c>
      <c r="F33" s="55" t="s">
        <v>554</v>
      </c>
      <c r="G33" s="437">
        <f>25352</f>
        <v>25352</v>
      </c>
      <c r="H33" s="437">
        <f>25352+750-2404</f>
        <v>23698</v>
      </c>
      <c r="J33" s="437">
        <v>22006.2</v>
      </c>
      <c r="K33" s="475">
        <f>J33/G33*100</f>
        <v>86.80261912275165</v>
      </c>
      <c r="L33" s="475">
        <f t="shared" si="1"/>
        <v>92.86100092834839</v>
      </c>
    </row>
    <row r="34" spans="1:12" ht="21" customHeight="1">
      <c r="A34" s="57" t="s">
        <v>447</v>
      </c>
      <c r="B34" s="52" t="s">
        <v>684</v>
      </c>
      <c r="C34" s="53" t="s">
        <v>418</v>
      </c>
      <c r="D34" s="53" t="s">
        <v>1105</v>
      </c>
      <c r="E34" s="55" t="s">
        <v>266</v>
      </c>
      <c r="F34" s="53" t="s">
        <v>446</v>
      </c>
      <c r="G34" s="437">
        <v>275814</v>
      </c>
      <c r="H34" s="437">
        <f>275814-250+10000-10000-110.6</f>
        <v>275453.4</v>
      </c>
      <c r="J34" s="437">
        <v>269665.1</v>
      </c>
      <c r="K34" s="475">
        <f>J34/G34*100</f>
        <v>97.77063528319809</v>
      </c>
      <c r="L34" s="475">
        <f t="shared" si="1"/>
        <v>97.89862822531867</v>
      </c>
    </row>
    <row r="35" spans="1:12" ht="59.25" customHeight="1">
      <c r="A35" s="62" t="s">
        <v>268</v>
      </c>
      <c r="B35" s="52" t="s">
        <v>684</v>
      </c>
      <c r="C35" s="53" t="s">
        <v>418</v>
      </c>
      <c r="D35" s="53" t="s">
        <v>1105</v>
      </c>
      <c r="E35" s="55" t="s">
        <v>266</v>
      </c>
      <c r="F35" s="53" t="s">
        <v>446</v>
      </c>
      <c r="G35" s="437">
        <v>0</v>
      </c>
      <c r="H35" s="437">
        <v>55.6</v>
      </c>
      <c r="J35" s="437">
        <v>55.6</v>
      </c>
      <c r="K35" s="475">
        <v>0</v>
      </c>
      <c r="L35" s="475">
        <f t="shared" si="1"/>
        <v>100</v>
      </c>
    </row>
    <row r="36" spans="1:12" ht="30" customHeight="1">
      <c r="A36" s="62" t="s">
        <v>1243</v>
      </c>
      <c r="B36" s="52" t="s">
        <v>242</v>
      </c>
      <c r="C36" s="53" t="s">
        <v>418</v>
      </c>
      <c r="D36" s="53" t="s">
        <v>1105</v>
      </c>
      <c r="E36" s="55" t="s">
        <v>266</v>
      </c>
      <c r="F36" s="53" t="s">
        <v>446</v>
      </c>
      <c r="G36" s="437">
        <v>0</v>
      </c>
      <c r="H36" s="437">
        <v>2561.6</v>
      </c>
      <c r="J36" s="437">
        <v>2559.6</v>
      </c>
      <c r="K36" s="475">
        <v>0</v>
      </c>
      <c r="L36" s="475">
        <f aca="true" t="shared" si="2" ref="L36:L45">J36/H36*100</f>
        <v>99.92192379762649</v>
      </c>
    </row>
    <row r="37" spans="1:12" ht="36">
      <c r="A37" s="57" t="s">
        <v>1244</v>
      </c>
      <c r="B37" s="52" t="s">
        <v>684</v>
      </c>
      <c r="C37" s="53" t="s">
        <v>418</v>
      </c>
      <c r="D37" s="53" t="s">
        <v>1105</v>
      </c>
      <c r="E37" s="53" t="s">
        <v>1245</v>
      </c>
      <c r="F37" s="53"/>
      <c r="G37" s="436">
        <f>G38+G41</f>
        <v>0</v>
      </c>
      <c r="H37" s="436">
        <f>H38+H41</f>
        <v>23558.7</v>
      </c>
      <c r="J37" s="436">
        <f>J38+J41</f>
        <v>23336.6</v>
      </c>
      <c r="K37" s="475">
        <v>0</v>
      </c>
      <c r="L37" s="475">
        <f t="shared" si="2"/>
        <v>99.05724848994214</v>
      </c>
    </row>
    <row r="38" spans="1:12" ht="24">
      <c r="A38" s="62" t="s">
        <v>154</v>
      </c>
      <c r="B38" s="52" t="s">
        <v>684</v>
      </c>
      <c r="C38" s="53" t="s">
        <v>418</v>
      </c>
      <c r="D38" s="53" t="s">
        <v>1105</v>
      </c>
      <c r="E38" s="53" t="s">
        <v>1246</v>
      </c>
      <c r="F38" s="53" t="s">
        <v>552</v>
      </c>
      <c r="G38" s="436">
        <f>G39</f>
        <v>0</v>
      </c>
      <c r="H38" s="436">
        <f>H39</f>
        <v>2494.7</v>
      </c>
      <c r="J38" s="436">
        <f>J39</f>
        <v>2346.1</v>
      </c>
      <c r="K38" s="475">
        <v>0</v>
      </c>
      <c r="L38" s="475">
        <f t="shared" si="2"/>
        <v>94.04337194853089</v>
      </c>
    </row>
    <row r="39" spans="1:12" ht="36">
      <c r="A39" s="62" t="s">
        <v>278</v>
      </c>
      <c r="B39" s="52" t="s">
        <v>684</v>
      </c>
      <c r="C39" s="53" t="s">
        <v>418</v>
      </c>
      <c r="D39" s="53" t="s">
        <v>1105</v>
      </c>
      <c r="E39" s="53" t="s">
        <v>1246</v>
      </c>
      <c r="F39" s="53" t="s">
        <v>155</v>
      </c>
      <c r="G39" s="436">
        <f>G40</f>
        <v>0</v>
      </c>
      <c r="H39" s="436">
        <f>H40</f>
        <v>2494.7</v>
      </c>
      <c r="J39" s="436">
        <f>J40</f>
        <v>2346.1</v>
      </c>
      <c r="K39" s="475">
        <v>0</v>
      </c>
      <c r="L39" s="475">
        <f t="shared" si="2"/>
        <v>94.04337194853089</v>
      </c>
    </row>
    <row r="40" spans="1:12" ht="48">
      <c r="A40" s="57" t="s">
        <v>1247</v>
      </c>
      <c r="B40" s="52" t="s">
        <v>684</v>
      </c>
      <c r="C40" s="53" t="s">
        <v>418</v>
      </c>
      <c r="D40" s="53" t="s">
        <v>1105</v>
      </c>
      <c r="E40" s="53" t="s">
        <v>1246</v>
      </c>
      <c r="F40" s="53" t="s">
        <v>155</v>
      </c>
      <c r="G40" s="437">
        <v>0</v>
      </c>
      <c r="H40" s="437">
        <v>2494.7</v>
      </c>
      <c r="J40" s="437">
        <v>2346.1</v>
      </c>
      <c r="K40" s="475">
        <v>0</v>
      </c>
      <c r="L40" s="475">
        <f t="shared" si="2"/>
        <v>94.04337194853089</v>
      </c>
    </row>
    <row r="41" spans="1:12" ht="24">
      <c r="A41" s="62" t="s">
        <v>139</v>
      </c>
      <c r="B41" s="52" t="s">
        <v>684</v>
      </c>
      <c r="C41" s="53" t="s">
        <v>418</v>
      </c>
      <c r="D41" s="53" t="s">
        <v>1105</v>
      </c>
      <c r="E41" s="53" t="s">
        <v>1246</v>
      </c>
      <c r="F41" s="53" t="s">
        <v>1454</v>
      </c>
      <c r="G41" s="436">
        <f>G42+G44</f>
        <v>0</v>
      </c>
      <c r="H41" s="436">
        <f>H42+H44</f>
        <v>21064</v>
      </c>
      <c r="J41" s="436">
        <f>J42+J44</f>
        <v>20990.5</v>
      </c>
      <c r="K41" s="475">
        <v>0</v>
      </c>
      <c r="L41" s="475">
        <f t="shared" si="2"/>
        <v>99.6510634257501</v>
      </c>
    </row>
    <row r="42" spans="1:12" ht="24">
      <c r="A42" s="57" t="s">
        <v>141</v>
      </c>
      <c r="B42" s="52" t="s">
        <v>684</v>
      </c>
      <c r="C42" s="53" t="s">
        <v>418</v>
      </c>
      <c r="D42" s="53" t="s">
        <v>1105</v>
      </c>
      <c r="E42" s="53" t="s">
        <v>1246</v>
      </c>
      <c r="F42" s="53" t="s">
        <v>554</v>
      </c>
      <c r="G42" s="436">
        <f>G43</f>
        <v>0</v>
      </c>
      <c r="H42" s="436">
        <f>H43</f>
        <v>4000</v>
      </c>
      <c r="J42" s="436">
        <f>J43</f>
        <v>3958.9</v>
      </c>
      <c r="K42" s="475">
        <v>0</v>
      </c>
      <c r="L42" s="475">
        <f t="shared" si="2"/>
        <v>98.97250000000001</v>
      </c>
    </row>
    <row r="43" spans="1:12" ht="36">
      <c r="A43" s="57" t="s">
        <v>1248</v>
      </c>
      <c r="B43" s="52" t="s">
        <v>684</v>
      </c>
      <c r="C43" s="53" t="s">
        <v>418</v>
      </c>
      <c r="D43" s="53" t="s">
        <v>1105</v>
      </c>
      <c r="E43" s="53" t="s">
        <v>1246</v>
      </c>
      <c r="F43" s="53" t="s">
        <v>554</v>
      </c>
      <c r="G43" s="437">
        <v>0</v>
      </c>
      <c r="H43" s="437">
        <f>3400+430+170</f>
        <v>4000</v>
      </c>
      <c r="J43" s="437">
        <v>3958.9</v>
      </c>
      <c r="K43" s="475">
        <v>0</v>
      </c>
      <c r="L43" s="475">
        <f t="shared" si="2"/>
        <v>98.97250000000001</v>
      </c>
    </row>
    <row r="44" spans="1:12" ht="24">
      <c r="A44" s="57" t="s">
        <v>267</v>
      </c>
      <c r="B44" s="52" t="s">
        <v>684</v>
      </c>
      <c r="C44" s="53" t="s">
        <v>418</v>
      </c>
      <c r="D44" s="53" t="s">
        <v>1105</v>
      </c>
      <c r="E44" s="53" t="s">
        <v>1246</v>
      </c>
      <c r="F44" s="53" t="s">
        <v>446</v>
      </c>
      <c r="G44" s="436">
        <f>G45</f>
        <v>0</v>
      </c>
      <c r="H44" s="436">
        <f>H45</f>
        <v>17064</v>
      </c>
      <c r="J44" s="436">
        <f>J45</f>
        <v>17031.6</v>
      </c>
      <c r="K44" s="475">
        <v>0</v>
      </c>
      <c r="L44" s="475">
        <f t="shared" si="2"/>
        <v>99.81012658227847</v>
      </c>
    </row>
    <row r="45" spans="1:12" ht="60">
      <c r="A45" s="57" t="s">
        <v>243</v>
      </c>
      <c r="B45" s="52" t="s">
        <v>684</v>
      </c>
      <c r="C45" s="53" t="s">
        <v>418</v>
      </c>
      <c r="D45" s="53" t="s">
        <v>1105</v>
      </c>
      <c r="E45" s="53" t="s">
        <v>1246</v>
      </c>
      <c r="F45" s="53" t="s">
        <v>446</v>
      </c>
      <c r="G45" s="437">
        <v>0</v>
      </c>
      <c r="H45" s="437">
        <f>500+84+8420.4+1579.6+450+1830+4200</f>
        <v>17064</v>
      </c>
      <c r="J45" s="437">
        <v>17031.6</v>
      </c>
      <c r="K45" s="475">
        <v>0</v>
      </c>
      <c r="L45" s="475">
        <f t="shared" si="2"/>
        <v>99.81012658227847</v>
      </c>
    </row>
    <row r="46" spans="1:12" ht="15.75">
      <c r="A46" s="61" t="s">
        <v>1087</v>
      </c>
      <c r="B46" s="52" t="s">
        <v>684</v>
      </c>
      <c r="C46" s="55" t="s">
        <v>418</v>
      </c>
      <c r="D46" s="55" t="s">
        <v>1106</v>
      </c>
      <c r="E46" s="235"/>
      <c r="F46" s="55"/>
      <c r="G46" s="436">
        <f>G47+G173</f>
        <v>1161219</v>
      </c>
      <c r="H46" s="436">
        <f>H47+H173</f>
        <v>1295621.7000000002</v>
      </c>
      <c r="J46" s="436">
        <f>J47+J173</f>
        <v>1275071.2</v>
      </c>
      <c r="K46" s="460">
        <f>J46/G46*100</f>
        <v>109.80454160670811</v>
      </c>
      <c r="L46" s="460">
        <f aca="true" t="shared" si="3" ref="L46:L51">J46/H46*100</f>
        <v>98.41385027743821</v>
      </c>
    </row>
    <row r="47" spans="1:12" ht="24">
      <c r="A47" s="56" t="s">
        <v>241</v>
      </c>
      <c r="B47" s="52" t="s">
        <v>684</v>
      </c>
      <c r="C47" s="384" t="s">
        <v>418</v>
      </c>
      <c r="D47" s="384" t="s">
        <v>1106</v>
      </c>
      <c r="E47" s="385" t="s">
        <v>1228</v>
      </c>
      <c r="F47" s="55"/>
      <c r="G47" s="436">
        <f>G48+G61+G64+G69+G73+G78+G82+G86+G103+G116+G135+G151</f>
        <v>1161219</v>
      </c>
      <c r="H47" s="436">
        <f>H48+H61+H64+H69+H73+H78+H82+H86+H103+H116+H135+H151</f>
        <v>1294646.7000000002</v>
      </c>
      <c r="J47" s="436">
        <f>J48+J61+J64+J69+J73+J78+J82+J86+J103+J116+J135+J151</f>
        <v>1274196.2</v>
      </c>
      <c r="K47" s="460">
        <f>J47/G47*100</f>
        <v>109.72918975662644</v>
      </c>
      <c r="L47" s="460">
        <f t="shared" si="3"/>
        <v>98.4203798611621</v>
      </c>
    </row>
    <row r="48" spans="1:12" ht="24">
      <c r="A48" s="386" t="s">
        <v>1261</v>
      </c>
      <c r="B48" s="52" t="s">
        <v>684</v>
      </c>
      <c r="C48" s="384" t="s">
        <v>418</v>
      </c>
      <c r="D48" s="384" t="s">
        <v>1106</v>
      </c>
      <c r="E48" s="387" t="s">
        <v>1262</v>
      </c>
      <c r="F48" s="388"/>
      <c r="G48" s="436">
        <f>G52+G58+G49</f>
        <v>810464</v>
      </c>
      <c r="H48" s="436">
        <f>H52+H58+H49</f>
        <v>879459.8000000002</v>
      </c>
      <c r="J48" s="436">
        <f>J52+J58+J49</f>
        <v>873314.4</v>
      </c>
      <c r="K48" s="475">
        <f>J48/G48*100</f>
        <v>107.754866348166</v>
      </c>
      <c r="L48" s="475">
        <f t="shared" si="3"/>
        <v>99.30123014150276</v>
      </c>
    </row>
    <row r="49" spans="1:12" ht="24">
      <c r="A49" s="62" t="s">
        <v>1263</v>
      </c>
      <c r="B49" s="52" t="s">
        <v>684</v>
      </c>
      <c r="C49" s="384" t="s">
        <v>418</v>
      </c>
      <c r="D49" s="384" t="s">
        <v>1106</v>
      </c>
      <c r="E49" s="387" t="s">
        <v>1264</v>
      </c>
      <c r="F49" s="388" t="s">
        <v>1454</v>
      </c>
      <c r="G49" s="436">
        <f>G50</f>
        <v>0</v>
      </c>
      <c r="H49" s="436">
        <f>H50</f>
        <v>6652.8</v>
      </c>
      <c r="J49" s="436">
        <f>J50</f>
        <v>6652.8</v>
      </c>
      <c r="K49" s="475">
        <v>0</v>
      </c>
      <c r="L49" s="475">
        <f t="shared" si="3"/>
        <v>100</v>
      </c>
    </row>
    <row r="50" spans="1:12" ht="24">
      <c r="A50" s="57" t="s">
        <v>267</v>
      </c>
      <c r="B50" s="52" t="s">
        <v>684</v>
      </c>
      <c r="C50" s="384" t="s">
        <v>418</v>
      </c>
      <c r="D50" s="384" t="s">
        <v>1106</v>
      </c>
      <c r="E50" s="387" t="s">
        <v>1264</v>
      </c>
      <c r="F50" s="388" t="s">
        <v>446</v>
      </c>
      <c r="G50" s="436">
        <f>G51</f>
        <v>0</v>
      </c>
      <c r="H50" s="436">
        <f>H51</f>
        <v>6652.8</v>
      </c>
      <c r="J50" s="436">
        <f>J51</f>
        <v>6652.8</v>
      </c>
      <c r="K50" s="475">
        <v>0</v>
      </c>
      <c r="L50" s="475">
        <f t="shared" si="3"/>
        <v>100</v>
      </c>
    </row>
    <row r="51" spans="1:12" ht="36">
      <c r="A51" s="386" t="s">
        <v>1265</v>
      </c>
      <c r="B51" s="52" t="s">
        <v>684</v>
      </c>
      <c r="C51" s="384" t="s">
        <v>418</v>
      </c>
      <c r="D51" s="384" t="s">
        <v>1106</v>
      </c>
      <c r="E51" s="387" t="s">
        <v>1264</v>
      </c>
      <c r="F51" s="388" t="s">
        <v>446</v>
      </c>
      <c r="G51" s="437">
        <v>0</v>
      </c>
      <c r="H51" s="437">
        <v>6652.8</v>
      </c>
      <c r="J51" s="437">
        <v>6652.8</v>
      </c>
      <c r="K51" s="475">
        <v>0</v>
      </c>
      <c r="L51" s="475">
        <f t="shared" si="3"/>
        <v>100</v>
      </c>
    </row>
    <row r="52" spans="1:12" ht="108">
      <c r="A52" s="62" t="s">
        <v>993</v>
      </c>
      <c r="B52" s="52" t="s">
        <v>684</v>
      </c>
      <c r="C52" s="55" t="s">
        <v>418</v>
      </c>
      <c r="D52" s="55" t="s">
        <v>1106</v>
      </c>
      <c r="E52" s="387" t="s">
        <v>994</v>
      </c>
      <c r="F52" s="55" t="s">
        <v>920</v>
      </c>
      <c r="G52" s="436">
        <f>G53</f>
        <v>810464</v>
      </c>
      <c r="H52" s="436">
        <f>H53</f>
        <v>854248.0000000001</v>
      </c>
      <c r="J52" s="436">
        <f>J53</f>
        <v>851947.7999999999</v>
      </c>
      <c r="K52" s="475">
        <f>J52/G52*100</f>
        <v>105.1185246969637</v>
      </c>
      <c r="L52" s="475">
        <f aca="true" t="shared" si="4" ref="L52:L57">J52/H52*100</f>
        <v>99.73073393206654</v>
      </c>
    </row>
    <row r="53" spans="1:12" ht="24">
      <c r="A53" s="62" t="s">
        <v>139</v>
      </c>
      <c r="B53" s="52" t="s">
        <v>684</v>
      </c>
      <c r="C53" s="55" t="s">
        <v>418</v>
      </c>
      <c r="D53" s="55" t="s">
        <v>1106</v>
      </c>
      <c r="E53" s="387" t="s">
        <v>994</v>
      </c>
      <c r="F53" s="55" t="s">
        <v>1454</v>
      </c>
      <c r="G53" s="436">
        <f>G54+G56</f>
        <v>810464</v>
      </c>
      <c r="H53" s="436">
        <f>H54+H56</f>
        <v>854248.0000000001</v>
      </c>
      <c r="J53" s="436">
        <f>J54+J56</f>
        <v>851947.7999999999</v>
      </c>
      <c r="K53" s="475">
        <f>J53/G53*100</f>
        <v>105.1185246969637</v>
      </c>
      <c r="L53" s="475">
        <f t="shared" si="4"/>
        <v>99.73073393206654</v>
      </c>
    </row>
    <row r="54" spans="1:12" ht="24">
      <c r="A54" s="57" t="s">
        <v>141</v>
      </c>
      <c r="B54" s="52" t="s">
        <v>684</v>
      </c>
      <c r="C54" s="55" t="s">
        <v>418</v>
      </c>
      <c r="D54" s="55" t="s">
        <v>1106</v>
      </c>
      <c r="E54" s="387" t="s">
        <v>994</v>
      </c>
      <c r="F54" s="55" t="s">
        <v>554</v>
      </c>
      <c r="G54" s="437">
        <v>28592</v>
      </c>
      <c r="H54" s="437">
        <f>28259+537.9</f>
        <v>28796.9</v>
      </c>
      <c r="J54" s="437">
        <v>28310.1</v>
      </c>
      <c r="K54" s="475">
        <f>J54/G54*100</f>
        <v>99.01405987688864</v>
      </c>
      <c r="L54" s="475">
        <f t="shared" si="4"/>
        <v>98.30954026301441</v>
      </c>
    </row>
    <row r="55" spans="1:12" ht="24">
      <c r="A55" s="57" t="s">
        <v>1294</v>
      </c>
      <c r="B55" s="52" t="s">
        <v>684</v>
      </c>
      <c r="C55" s="55" t="s">
        <v>418</v>
      </c>
      <c r="D55" s="55" t="s">
        <v>1106</v>
      </c>
      <c r="E55" s="387" t="s">
        <v>994</v>
      </c>
      <c r="F55" s="55" t="s">
        <v>554</v>
      </c>
      <c r="G55" s="437">
        <v>0</v>
      </c>
      <c r="H55" s="437">
        <v>537.9</v>
      </c>
      <c r="J55" s="437">
        <v>537.9</v>
      </c>
      <c r="K55" s="475">
        <v>0</v>
      </c>
      <c r="L55" s="475">
        <f t="shared" si="4"/>
        <v>100</v>
      </c>
    </row>
    <row r="56" spans="1:12" ht="24">
      <c r="A56" s="57" t="s">
        <v>267</v>
      </c>
      <c r="B56" s="52" t="s">
        <v>684</v>
      </c>
      <c r="C56" s="55" t="s">
        <v>418</v>
      </c>
      <c r="D56" s="55" t="s">
        <v>1106</v>
      </c>
      <c r="E56" s="387" t="s">
        <v>994</v>
      </c>
      <c r="F56" s="55" t="s">
        <v>446</v>
      </c>
      <c r="G56" s="437">
        <v>781872</v>
      </c>
      <c r="H56" s="437">
        <f>777069.3+30381.8+13500+4500</f>
        <v>825451.1000000001</v>
      </c>
      <c r="J56" s="437">
        <v>823637.7</v>
      </c>
      <c r="K56" s="475">
        <f>J56/G56*100</f>
        <v>105.34175670698016</v>
      </c>
      <c r="L56" s="475">
        <f t="shared" si="4"/>
        <v>99.7803140610025</v>
      </c>
    </row>
    <row r="57" spans="1:12" ht="24">
      <c r="A57" s="57" t="s">
        <v>1289</v>
      </c>
      <c r="B57" s="52" t="s">
        <v>684</v>
      </c>
      <c r="C57" s="55" t="s">
        <v>418</v>
      </c>
      <c r="D57" s="55" t="s">
        <v>1106</v>
      </c>
      <c r="E57" s="387" t="s">
        <v>994</v>
      </c>
      <c r="F57" s="55" t="s">
        <v>446</v>
      </c>
      <c r="G57" s="437">
        <v>0</v>
      </c>
      <c r="H57" s="437">
        <v>30381.8</v>
      </c>
      <c r="J57" s="437">
        <v>30381.8</v>
      </c>
      <c r="K57" s="475">
        <v>0</v>
      </c>
      <c r="L57" s="475">
        <f t="shared" si="4"/>
        <v>100</v>
      </c>
    </row>
    <row r="58" spans="1:12" ht="108">
      <c r="A58" s="389" t="s">
        <v>1295</v>
      </c>
      <c r="B58" s="52" t="s">
        <v>684</v>
      </c>
      <c r="C58" s="53" t="s">
        <v>418</v>
      </c>
      <c r="D58" s="53" t="s">
        <v>1106</v>
      </c>
      <c r="E58" s="53" t="s">
        <v>1296</v>
      </c>
      <c r="F58" s="53" t="s">
        <v>920</v>
      </c>
      <c r="G58" s="436">
        <f>G60</f>
        <v>0</v>
      </c>
      <c r="H58" s="436">
        <f>H60</f>
        <v>18559</v>
      </c>
      <c r="J58" s="436">
        <f>J60</f>
        <v>14713.8</v>
      </c>
      <c r="K58" s="475">
        <v>0</v>
      </c>
      <c r="L58" s="475">
        <f>J58/H58*100</f>
        <v>79.28121127215906</v>
      </c>
    </row>
    <row r="59" spans="1:12" ht="24">
      <c r="A59" s="62" t="s">
        <v>139</v>
      </c>
      <c r="B59" s="52" t="s">
        <v>684</v>
      </c>
      <c r="C59" s="53" t="s">
        <v>418</v>
      </c>
      <c r="D59" s="53" t="s">
        <v>1106</v>
      </c>
      <c r="E59" s="53" t="s">
        <v>1296</v>
      </c>
      <c r="F59" s="53" t="s">
        <v>1454</v>
      </c>
      <c r="G59" s="436">
        <f>G60</f>
        <v>0</v>
      </c>
      <c r="H59" s="436">
        <f>H60</f>
        <v>18559</v>
      </c>
      <c r="J59" s="436">
        <f>J60</f>
        <v>14713.8</v>
      </c>
      <c r="K59" s="475">
        <v>0</v>
      </c>
      <c r="L59" s="475">
        <f>J59/H59*100</f>
        <v>79.28121127215906</v>
      </c>
    </row>
    <row r="60" spans="1:12" ht="24">
      <c r="A60" s="390" t="s">
        <v>403</v>
      </c>
      <c r="B60" s="52" t="s">
        <v>684</v>
      </c>
      <c r="C60" s="53" t="s">
        <v>418</v>
      </c>
      <c r="D60" s="53" t="s">
        <v>1106</v>
      </c>
      <c r="E60" s="53" t="s">
        <v>1296</v>
      </c>
      <c r="F60" s="53" t="s">
        <v>404</v>
      </c>
      <c r="G60" s="437">
        <v>0</v>
      </c>
      <c r="H60" s="437">
        <f>18022+465+73-1</f>
        <v>18559</v>
      </c>
      <c r="J60" s="437">
        <v>14713.8</v>
      </c>
      <c r="K60" s="475">
        <v>0</v>
      </c>
      <c r="L60" s="475">
        <f>J60/H60*100</f>
        <v>79.28121127215906</v>
      </c>
    </row>
    <row r="61" spans="1:12" ht="36">
      <c r="A61" s="62" t="s">
        <v>1297</v>
      </c>
      <c r="B61" s="52" t="s">
        <v>684</v>
      </c>
      <c r="C61" s="55" t="s">
        <v>418</v>
      </c>
      <c r="D61" s="55" t="s">
        <v>1106</v>
      </c>
      <c r="E61" s="387" t="s">
        <v>1298</v>
      </c>
      <c r="F61" s="55"/>
      <c r="G61" s="436">
        <f>G62</f>
        <v>456</v>
      </c>
      <c r="H61" s="436">
        <f>H62</f>
        <v>0</v>
      </c>
      <c r="J61" s="436">
        <f>J62</f>
        <v>0</v>
      </c>
      <c r="K61" s="475">
        <f>J61/G61*100</f>
        <v>0</v>
      </c>
      <c r="L61" s="475">
        <v>0</v>
      </c>
    </row>
    <row r="62" spans="1:12" ht="24">
      <c r="A62" s="62" t="s">
        <v>139</v>
      </c>
      <c r="B62" s="52" t="s">
        <v>684</v>
      </c>
      <c r="C62" s="55" t="s">
        <v>418</v>
      </c>
      <c r="D62" s="55" t="s">
        <v>1106</v>
      </c>
      <c r="E62" s="387" t="s">
        <v>1299</v>
      </c>
      <c r="F62" s="55" t="s">
        <v>1454</v>
      </c>
      <c r="G62" s="436">
        <f>G63</f>
        <v>456</v>
      </c>
      <c r="H62" s="436">
        <f>H63</f>
        <v>0</v>
      </c>
      <c r="J62" s="436">
        <f>J63</f>
        <v>0</v>
      </c>
      <c r="K62" s="475">
        <f>J62/G62*100</f>
        <v>0</v>
      </c>
      <c r="L62" s="475">
        <v>0</v>
      </c>
    </row>
    <row r="63" spans="1:12" ht="24">
      <c r="A63" s="57" t="s">
        <v>447</v>
      </c>
      <c r="B63" s="52" t="s">
        <v>684</v>
      </c>
      <c r="C63" s="55" t="s">
        <v>418</v>
      </c>
      <c r="D63" s="55" t="s">
        <v>1106</v>
      </c>
      <c r="E63" s="387" t="s">
        <v>1299</v>
      </c>
      <c r="F63" s="55" t="s">
        <v>446</v>
      </c>
      <c r="G63" s="437">
        <v>456</v>
      </c>
      <c r="H63" s="437">
        <v>0</v>
      </c>
      <c r="J63" s="437">
        <v>0</v>
      </c>
      <c r="K63" s="475">
        <f>J63/G63*100</f>
        <v>0</v>
      </c>
      <c r="L63" s="475">
        <v>0</v>
      </c>
    </row>
    <row r="64" spans="1:12" ht="36">
      <c r="A64" s="62" t="s">
        <v>1300</v>
      </c>
      <c r="B64" s="52" t="s">
        <v>684</v>
      </c>
      <c r="C64" s="55" t="s">
        <v>418</v>
      </c>
      <c r="D64" s="55" t="s">
        <v>1106</v>
      </c>
      <c r="E64" s="55" t="s">
        <v>1301</v>
      </c>
      <c r="F64" s="55" t="s">
        <v>920</v>
      </c>
      <c r="G64" s="436">
        <f>G65</f>
        <v>37230</v>
      </c>
      <c r="H64" s="436">
        <f>H65</f>
        <v>37873</v>
      </c>
      <c r="J64" s="436">
        <f>J65</f>
        <v>37767.3</v>
      </c>
      <c r="K64" s="475">
        <f aca="true" t="shared" si="5" ref="K64:K71">J64/G64*100</f>
        <v>101.44319097502014</v>
      </c>
      <c r="L64" s="475">
        <f aca="true" t="shared" si="6" ref="L64:L71">J64/H64*100</f>
        <v>99.72090935494944</v>
      </c>
    </row>
    <row r="65" spans="1:12" ht="24">
      <c r="A65" s="62" t="s">
        <v>139</v>
      </c>
      <c r="B65" s="52" t="s">
        <v>684</v>
      </c>
      <c r="C65" s="55" t="s">
        <v>418</v>
      </c>
      <c r="D65" s="55" t="s">
        <v>1106</v>
      </c>
      <c r="E65" s="55" t="s">
        <v>1301</v>
      </c>
      <c r="F65" s="55" t="s">
        <v>1454</v>
      </c>
      <c r="G65" s="436">
        <f>G66+G67+G68</f>
        <v>37230</v>
      </c>
      <c r="H65" s="436">
        <f>H66+H67+H68</f>
        <v>37873</v>
      </c>
      <c r="J65" s="436">
        <f>J66+J67+J68</f>
        <v>37767.3</v>
      </c>
      <c r="K65" s="475">
        <f t="shared" si="5"/>
        <v>101.44319097502014</v>
      </c>
      <c r="L65" s="475">
        <f t="shared" si="6"/>
        <v>99.72090935494944</v>
      </c>
    </row>
    <row r="66" spans="1:12" ht="24">
      <c r="A66" s="57" t="s">
        <v>553</v>
      </c>
      <c r="B66" s="52" t="s">
        <v>684</v>
      </c>
      <c r="C66" s="55" t="s">
        <v>418</v>
      </c>
      <c r="D66" s="55" t="s">
        <v>1106</v>
      </c>
      <c r="E66" s="55" t="s">
        <v>1301</v>
      </c>
      <c r="F66" s="55" t="s">
        <v>554</v>
      </c>
      <c r="G66" s="437">
        <v>280</v>
      </c>
      <c r="H66" s="437">
        <v>280</v>
      </c>
      <c r="J66" s="437">
        <v>280</v>
      </c>
      <c r="K66" s="475">
        <f t="shared" si="5"/>
        <v>100</v>
      </c>
      <c r="L66" s="475">
        <f t="shared" si="6"/>
        <v>100</v>
      </c>
    </row>
    <row r="67" spans="1:12" ht="24">
      <c r="A67" s="57" t="s">
        <v>445</v>
      </c>
      <c r="B67" s="52" t="s">
        <v>684</v>
      </c>
      <c r="C67" s="55" t="s">
        <v>418</v>
      </c>
      <c r="D67" s="55" t="s">
        <v>1106</v>
      </c>
      <c r="E67" s="55" t="s">
        <v>1301</v>
      </c>
      <c r="F67" s="55" t="s">
        <v>446</v>
      </c>
      <c r="G67" s="437">
        <v>36950</v>
      </c>
      <c r="H67" s="437">
        <v>36950</v>
      </c>
      <c r="J67" s="437">
        <v>36950</v>
      </c>
      <c r="K67" s="475">
        <f t="shared" si="5"/>
        <v>100</v>
      </c>
      <c r="L67" s="475">
        <f t="shared" si="6"/>
        <v>100</v>
      </c>
    </row>
    <row r="68" spans="1:12" ht="24">
      <c r="A68" s="390" t="s">
        <v>403</v>
      </c>
      <c r="B68" s="52" t="s">
        <v>684</v>
      </c>
      <c r="C68" s="55" t="s">
        <v>418</v>
      </c>
      <c r="D68" s="55" t="s">
        <v>1106</v>
      </c>
      <c r="E68" s="55" t="s">
        <v>1301</v>
      </c>
      <c r="F68" s="55" t="s">
        <v>404</v>
      </c>
      <c r="G68" s="437">
        <v>0</v>
      </c>
      <c r="H68" s="437">
        <v>643</v>
      </c>
      <c r="J68" s="437">
        <v>537.3</v>
      </c>
      <c r="K68" s="475">
        <v>0</v>
      </c>
      <c r="L68" s="475">
        <f t="shared" si="6"/>
        <v>83.56143079315707</v>
      </c>
    </row>
    <row r="69" spans="1:12" ht="36">
      <c r="A69" s="62" t="s">
        <v>1302</v>
      </c>
      <c r="B69" s="52" t="s">
        <v>684</v>
      </c>
      <c r="C69" s="55" t="s">
        <v>418</v>
      </c>
      <c r="D69" s="55" t="s">
        <v>1106</v>
      </c>
      <c r="E69" s="55" t="s">
        <v>1303</v>
      </c>
      <c r="F69" s="55" t="s">
        <v>920</v>
      </c>
      <c r="G69" s="436">
        <f>G70</f>
        <v>496</v>
      </c>
      <c r="H69" s="436">
        <f>H70</f>
        <v>496</v>
      </c>
      <c r="J69" s="436">
        <f>J70</f>
        <v>284.5</v>
      </c>
      <c r="K69" s="475">
        <f t="shared" si="5"/>
        <v>57.358870967741936</v>
      </c>
      <c r="L69" s="475">
        <f t="shared" si="6"/>
        <v>57.358870967741936</v>
      </c>
    </row>
    <row r="70" spans="1:12" ht="24">
      <c r="A70" s="206" t="s">
        <v>767</v>
      </c>
      <c r="B70" s="52" t="s">
        <v>684</v>
      </c>
      <c r="C70" s="55" t="s">
        <v>418</v>
      </c>
      <c r="D70" s="55" t="s">
        <v>1106</v>
      </c>
      <c r="E70" s="55" t="s">
        <v>1303</v>
      </c>
      <c r="F70" s="55" t="s">
        <v>768</v>
      </c>
      <c r="G70" s="436">
        <f>G71</f>
        <v>496</v>
      </c>
      <c r="H70" s="436">
        <f>H71</f>
        <v>496</v>
      </c>
      <c r="J70" s="436">
        <f>J71</f>
        <v>284.5</v>
      </c>
      <c r="K70" s="475">
        <f t="shared" si="5"/>
        <v>57.358870967741936</v>
      </c>
      <c r="L70" s="475">
        <f t="shared" si="6"/>
        <v>57.358870967741936</v>
      </c>
    </row>
    <row r="71" spans="1:12" ht="24">
      <c r="A71" s="57" t="s">
        <v>1073</v>
      </c>
      <c r="B71" s="52" t="s">
        <v>684</v>
      </c>
      <c r="C71" s="55" t="s">
        <v>418</v>
      </c>
      <c r="D71" s="55" t="s">
        <v>1106</v>
      </c>
      <c r="E71" s="55" t="s">
        <v>1303</v>
      </c>
      <c r="F71" s="55" t="s">
        <v>1074</v>
      </c>
      <c r="G71" s="437">
        <v>496</v>
      </c>
      <c r="H71" s="437">
        <v>496</v>
      </c>
      <c r="J71" s="437">
        <v>284.5</v>
      </c>
      <c r="K71" s="475">
        <f t="shared" si="5"/>
        <v>57.358870967741936</v>
      </c>
      <c r="L71" s="475">
        <f t="shared" si="6"/>
        <v>57.358870967741936</v>
      </c>
    </row>
    <row r="72" spans="1:12" ht="36">
      <c r="A72" s="62" t="s">
        <v>1297</v>
      </c>
      <c r="B72" s="52" t="s">
        <v>684</v>
      </c>
      <c r="C72" s="55" t="s">
        <v>418</v>
      </c>
      <c r="D72" s="55" t="s">
        <v>1106</v>
      </c>
      <c r="E72" s="55" t="s">
        <v>1298</v>
      </c>
      <c r="F72" s="55"/>
      <c r="G72" s="436">
        <f>G73</f>
        <v>59883</v>
      </c>
      <c r="H72" s="436">
        <f>H73</f>
        <v>60339</v>
      </c>
      <c r="J72" s="436">
        <f>J73</f>
        <v>54434.700000000004</v>
      </c>
      <c r="K72" s="475">
        <f>J72/G72*100</f>
        <v>90.90175842893643</v>
      </c>
      <c r="L72" s="475">
        <f aca="true" t="shared" si="7" ref="L72:L77">J72/H72*100</f>
        <v>90.21478645652067</v>
      </c>
    </row>
    <row r="73" spans="1:12" ht="108">
      <c r="A73" s="62" t="s">
        <v>1304</v>
      </c>
      <c r="B73" s="52" t="s">
        <v>684</v>
      </c>
      <c r="C73" s="55" t="s">
        <v>418</v>
      </c>
      <c r="D73" s="55" t="s">
        <v>1106</v>
      </c>
      <c r="E73" s="55" t="s">
        <v>1299</v>
      </c>
      <c r="F73" s="55" t="s">
        <v>920</v>
      </c>
      <c r="G73" s="436">
        <f>G74</f>
        <v>59883</v>
      </c>
      <c r="H73" s="436">
        <f>H74</f>
        <v>60339</v>
      </c>
      <c r="J73" s="436">
        <f>J74</f>
        <v>54434.700000000004</v>
      </c>
      <c r="K73" s="475">
        <f>J73/G73*100</f>
        <v>90.90175842893643</v>
      </c>
      <c r="L73" s="475">
        <f t="shared" si="7"/>
        <v>90.21478645652067</v>
      </c>
    </row>
    <row r="74" spans="1:12" ht="24">
      <c r="A74" s="62" t="s">
        <v>139</v>
      </c>
      <c r="B74" s="52" t="s">
        <v>684</v>
      </c>
      <c r="C74" s="55" t="s">
        <v>418</v>
      </c>
      <c r="D74" s="55" t="s">
        <v>1106</v>
      </c>
      <c r="E74" s="55" t="s">
        <v>1299</v>
      </c>
      <c r="F74" s="55" t="s">
        <v>1454</v>
      </c>
      <c r="G74" s="436">
        <f>G75+G77</f>
        <v>59883</v>
      </c>
      <c r="H74" s="436">
        <f>H75+H77</f>
        <v>60339</v>
      </c>
      <c r="J74" s="436">
        <f>J75+J77</f>
        <v>54434.700000000004</v>
      </c>
      <c r="K74" s="475">
        <f>J74/G74*100</f>
        <v>90.90175842893643</v>
      </c>
      <c r="L74" s="475">
        <f t="shared" si="7"/>
        <v>90.21478645652067</v>
      </c>
    </row>
    <row r="75" spans="1:12" ht="24">
      <c r="A75" s="57" t="s">
        <v>512</v>
      </c>
      <c r="B75" s="52" t="s">
        <v>684</v>
      </c>
      <c r="C75" s="55" t="s">
        <v>418</v>
      </c>
      <c r="D75" s="55" t="s">
        <v>1106</v>
      </c>
      <c r="E75" s="55" t="s">
        <v>1299</v>
      </c>
      <c r="F75" s="55" t="s">
        <v>554</v>
      </c>
      <c r="G75" s="437">
        <f>59555.8+327.2</f>
        <v>59883</v>
      </c>
      <c r="H75" s="437">
        <f>59555.8+327.2</f>
        <v>59883</v>
      </c>
      <c r="J75" s="437">
        <v>54387.9</v>
      </c>
      <c r="K75" s="475">
        <f>J75/G75*100</f>
        <v>90.82360603176194</v>
      </c>
      <c r="L75" s="475">
        <f t="shared" si="7"/>
        <v>90.82360603176194</v>
      </c>
    </row>
    <row r="76" spans="1:12" ht="24">
      <c r="A76" s="57" t="s">
        <v>1294</v>
      </c>
      <c r="B76" s="52" t="s">
        <v>684</v>
      </c>
      <c r="C76" s="55" t="s">
        <v>418</v>
      </c>
      <c r="D76" s="55" t="s">
        <v>1106</v>
      </c>
      <c r="E76" s="55" t="s">
        <v>1299</v>
      </c>
      <c r="F76" s="55" t="s">
        <v>554</v>
      </c>
      <c r="G76" s="437">
        <v>0</v>
      </c>
      <c r="H76" s="437">
        <v>327.2</v>
      </c>
      <c r="J76" s="437">
        <v>327.2</v>
      </c>
      <c r="K76" s="475">
        <v>0</v>
      </c>
      <c r="L76" s="475">
        <f t="shared" si="7"/>
        <v>100</v>
      </c>
    </row>
    <row r="77" spans="1:12" ht="24">
      <c r="A77" s="57" t="s">
        <v>445</v>
      </c>
      <c r="B77" s="52" t="s">
        <v>684</v>
      </c>
      <c r="C77" s="55" t="s">
        <v>418</v>
      </c>
      <c r="D77" s="55" t="s">
        <v>1106</v>
      </c>
      <c r="E77" s="55" t="s">
        <v>1299</v>
      </c>
      <c r="F77" s="55" t="s">
        <v>446</v>
      </c>
      <c r="G77" s="437">
        <v>0</v>
      </c>
      <c r="H77" s="437">
        <v>456</v>
      </c>
      <c r="J77" s="437">
        <v>46.8</v>
      </c>
      <c r="K77" s="475">
        <v>0</v>
      </c>
      <c r="L77" s="475">
        <f t="shared" si="7"/>
        <v>10.263157894736842</v>
      </c>
    </row>
    <row r="78" spans="1:12" ht="36">
      <c r="A78" s="57" t="s">
        <v>285</v>
      </c>
      <c r="B78" s="52" t="s">
        <v>684</v>
      </c>
      <c r="C78" s="55" t="s">
        <v>418</v>
      </c>
      <c r="D78" s="55" t="s">
        <v>1106</v>
      </c>
      <c r="E78" s="55" t="s">
        <v>286</v>
      </c>
      <c r="F78" s="55" t="s">
        <v>920</v>
      </c>
      <c r="G78" s="436">
        <f aca="true" t="shared" si="8" ref="G78:H80">G79</f>
        <v>2602</v>
      </c>
      <c r="H78" s="436">
        <f t="shared" si="8"/>
        <v>2602</v>
      </c>
      <c r="J78" s="436">
        <f>J79</f>
        <v>979.2</v>
      </c>
      <c r="K78" s="475">
        <f aca="true" t="shared" si="9" ref="K78:K90">J78/G78*100</f>
        <v>37.6325903151422</v>
      </c>
      <c r="L78" s="475">
        <f aca="true" t="shared" si="10" ref="L78:L85">J78/H78*100</f>
        <v>37.6325903151422</v>
      </c>
    </row>
    <row r="79" spans="1:12" ht="24">
      <c r="A79" s="57" t="s">
        <v>460</v>
      </c>
      <c r="B79" s="52" t="s">
        <v>684</v>
      </c>
      <c r="C79" s="55" t="s">
        <v>418</v>
      </c>
      <c r="D79" s="55" t="s">
        <v>1106</v>
      </c>
      <c r="E79" s="55" t="s">
        <v>286</v>
      </c>
      <c r="F79" s="55" t="s">
        <v>920</v>
      </c>
      <c r="G79" s="436">
        <f t="shared" si="8"/>
        <v>2602</v>
      </c>
      <c r="H79" s="436">
        <f t="shared" si="8"/>
        <v>2602</v>
      </c>
      <c r="J79" s="436">
        <f>J80</f>
        <v>979.2</v>
      </c>
      <c r="K79" s="475">
        <f t="shared" si="9"/>
        <v>37.6325903151422</v>
      </c>
      <c r="L79" s="475">
        <f t="shared" si="10"/>
        <v>37.6325903151422</v>
      </c>
    </row>
    <row r="80" spans="1:12" ht="24">
      <c r="A80" s="62" t="s">
        <v>139</v>
      </c>
      <c r="B80" s="52" t="s">
        <v>684</v>
      </c>
      <c r="C80" s="55" t="s">
        <v>418</v>
      </c>
      <c r="D80" s="55" t="s">
        <v>1106</v>
      </c>
      <c r="E80" s="55" t="s">
        <v>286</v>
      </c>
      <c r="F80" s="55" t="s">
        <v>1454</v>
      </c>
      <c r="G80" s="436">
        <f t="shared" si="8"/>
        <v>2602</v>
      </c>
      <c r="H80" s="436">
        <f t="shared" si="8"/>
        <v>2602</v>
      </c>
      <c r="J80" s="436">
        <f>J81</f>
        <v>979.2</v>
      </c>
      <c r="K80" s="475">
        <f t="shared" si="9"/>
        <v>37.6325903151422</v>
      </c>
      <c r="L80" s="475">
        <f t="shared" si="10"/>
        <v>37.6325903151422</v>
      </c>
    </row>
    <row r="81" spans="1:12" ht="24">
      <c r="A81" s="57" t="s">
        <v>553</v>
      </c>
      <c r="B81" s="52" t="s">
        <v>684</v>
      </c>
      <c r="C81" s="55" t="s">
        <v>418</v>
      </c>
      <c r="D81" s="55" t="s">
        <v>1106</v>
      </c>
      <c r="E81" s="55" t="s">
        <v>286</v>
      </c>
      <c r="F81" s="55" t="s">
        <v>554</v>
      </c>
      <c r="G81" s="437">
        <v>2602</v>
      </c>
      <c r="H81" s="437">
        <v>2602</v>
      </c>
      <c r="J81" s="437">
        <v>979.2</v>
      </c>
      <c r="K81" s="475">
        <f t="shared" si="9"/>
        <v>37.6325903151422</v>
      </c>
      <c r="L81" s="475">
        <f t="shared" si="10"/>
        <v>37.6325903151422</v>
      </c>
    </row>
    <row r="82" spans="1:12" ht="48">
      <c r="A82" s="57" t="s">
        <v>287</v>
      </c>
      <c r="B82" s="52" t="s">
        <v>684</v>
      </c>
      <c r="C82" s="55" t="s">
        <v>418</v>
      </c>
      <c r="D82" s="55" t="s">
        <v>1106</v>
      </c>
      <c r="E82" s="55" t="s">
        <v>290</v>
      </c>
      <c r="F82" s="55" t="s">
        <v>920</v>
      </c>
      <c r="G82" s="436">
        <f aca="true" t="shared" si="11" ref="G82:H84">G83</f>
        <v>3316</v>
      </c>
      <c r="H82" s="436">
        <f t="shared" si="11"/>
        <v>2876</v>
      </c>
      <c r="J82" s="436">
        <f>J83</f>
        <v>1313.2</v>
      </c>
      <c r="K82" s="475">
        <f t="shared" si="9"/>
        <v>39.60193003618818</v>
      </c>
      <c r="L82" s="475">
        <f t="shared" si="10"/>
        <v>45.66063977746871</v>
      </c>
    </row>
    <row r="83" spans="1:12" ht="36">
      <c r="A83" s="57" t="s">
        <v>289</v>
      </c>
      <c r="B83" s="52" t="s">
        <v>684</v>
      </c>
      <c r="C83" s="55" t="s">
        <v>418</v>
      </c>
      <c r="D83" s="55" t="s">
        <v>1106</v>
      </c>
      <c r="E83" s="55" t="s">
        <v>290</v>
      </c>
      <c r="F83" s="55" t="s">
        <v>920</v>
      </c>
      <c r="G83" s="436">
        <f t="shared" si="11"/>
        <v>3316</v>
      </c>
      <c r="H83" s="436">
        <f t="shared" si="11"/>
        <v>2876</v>
      </c>
      <c r="J83" s="436">
        <f>J84</f>
        <v>1313.2</v>
      </c>
      <c r="K83" s="475">
        <f t="shared" si="9"/>
        <v>39.60193003618818</v>
      </c>
      <c r="L83" s="475">
        <f t="shared" si="10"/>
        <v>45.66063977746871</v>
      </c>
    </row>
    <row r="84" spans="1:12" ht="24">
      <c r="A84" s="62" t="s">
        <v>139</v>
      </c>
      <c r="B84" s="52" t="s">
        <v>684</v>
      </c>
      <c r="C84" s="55" t="s">
        <v>418</v>
      </c>
      <c r="D84" s="55" t="s">
        <v>1106</v>
      </c>
      <c r="E84" s="55" t="s">
        <v>290</v>
      </c>
      <c r="F84" s="55" t="s">
        <v>1454</v>
      </c>
      <c r="G84" s="436">
        <f t="shared" si="11"/>
        <v>3316</v>
      </c>
      <c r="H84" s="436">
        <f t="shared" si="11"/>
        <v>2876</v>
      </c>
      <c r="J84" s="436">
        <f>J85</f>
        <v>1313.2</v>
      </c>
      <c r="K84" s="475">
        <f t="shared" si="9"/>
        <v>39.60193003618818</v>
      </c>
      <c r="L84" s="475">
        <f t="shared" si="10"/>
        <v>45.66063977746871</v>
      </c>
    </row>
    <row r="85" spans="1:12" ht="24">
      <c r="A85" s="57" t="s">
        <v>553</v>
      </c>
      <c r="B85" s="52" t="s">
        <v>684</v>
      </c>
      <c r="C85" s="55" t="s">
        <v>418</v>
      </c>
      <c r="D85" s="55" t="s">
        <v>1106</v>
      </c>
      <c r="E85" s="55" t="s">
        <v>290</v>
      </c>
      <c r="F85" s="55" t="s">
        <v>554</v>
      </c>
      <c r="G85" s="437">
        <f>3316</f>
        <v>3316</v>
      </c>
      <c r="H85" s="437">
        <f>3316-440</f>
        <v>2876</v>
      </c>
      <c r="J85" s="437">
        <v>1313.2</v>
      </c>
      <c r="K85" s="475">
        <f t="shared" si="9"/>
        <v>39.60193003618818</v>
      </c>
      <c r="L85" s="475">
        <f t="shared" si="10"/>
        <v>45.66063977746871</v>
      </c>
    </row>
    <row r="86" spans="1:12" ht="24">
      <c r="A86" s="386" t="s">
        <v>1261</v>
      </c>
      <c r="B86" s="52" t="s">
        <v>684</v>
      </c>
      <c r="C86" s="55" t="s">
        <v>418</v>
      </c>
      <c r="D86" s="55" t="s">
        <v>1106</v>
      </c>
      <c r="E86" s="55" t="s">
        <v>1262</v>
      </c>
      <c r="F86" s="55" t="s">
        <v>920</v>
      </c>
      <c r="G86" s="436">
        <f>G87+G91+G95+G98+G101</f>
        <v>9019</v>
      </c>
      <c r="H86" s="436">
        <f>H87+H91+H95+H98+H101</f>
        <v>13167</v>
      </c>
      <c r="I86" s="436">
        <f>I87+I91+I95+I98+I101</f>
        <v>0</v>
      </c>
      <c r="J86" s="436">
        <f>J87+J91+J95+J98+J101</f>
        <v>11377.2</v>
      </c>
      <c r="K86" s="475">
        <f t="shared" si="9"/>
        <v>126.14702295154675</v>
      </c>
      <c r="L86" s="475">
        <f aca="true" t="shared" si="12" ref="L86:L102">J86/H86*100</f>
        <v>86.40692640692642</v>
      </c>
    </row>
    <row r="87" spans="1:12" ht="33.75" customHeight="1">
      <c r="A87" s="386" t="s">
        <v>292</v>
      </c>
      <c r="B87" s="52" t="s">
        <v>684</v>
      </c>
      <c r="C87" s="55" t="s">
        <v>418</v>
      </c>
      <c r="D87" s="55" t="s">
        <v>1106</v>
      </c>
      <c r="E87" s="55" t="s">
        <v>293</v>
      </c>
      <c r="F87" s="55"/>
      <c r="G87" s="436">
        <f>G88</f>
        <v>9019</v>
      </c>
      <c r="H87" s="436">
        <f>H88</f>
        <v>9019</v>
      </c>
      <c r="J87" s="436">
        <f>J88</f>
        <v>7481.3</v>
      </c>
      <c r="K87" s="475">
        <f t="shared" si="9"/>
        <v>82.95043796429759</v>
      </c>
      <c r="L87" s="475">
        <f t="shared" si="12"/>
        <v>82.95043796429759</v>
      </c>
    </row>
    <row r="88" spans="1:12" ht="24">
      <c r="A88" s="62" t="s">
        <v>139</v>
      </c>
      <c r="B88" s="52" t="s">
        <v>684</v>
      </c>
      <c r="C88" s="55" t="s">
        <v>418</v>
      </c>
      <c r="D88" s="55" t="s">
        <v>1106</v>
      </c>
      <c r="E88" s="55" t="s">
        <v>293</v>
      </c>
      <c r="F88" s="55" t="s">
        <v>1454</v>
      </c>
      <c r="G88" s="436">
        <f>G89+G90</f>
        <v>9019</v>
      </c>
      <c r="H88" s="436">
        <f>H89+H90</f>
        <v>9019</v>
      </c>
      <c r="J88" s="436">
        <f>J89+J90</f>
        <v>7481.3</v>
      </c>
      <c r="K88" s="475">
        <f t="shared" si="9"/>
        <v>82.95043796429759</v>
      </c>
      <c r="L88" s="475">
        <f t="shared" si="12"/>
        <v>82.95043796429759</v>
      </c>
    </row>
    <row r="89" spans="1:12" ht="24">
      <c r="A89" s="57" t="s">
        <v>553</v>
      </c>
      <c r="B89" s="52" t="s">
        <v>684</v>
      </c>
      <c r="C89" s="55" t="s">
        <v>418</v>
      </c>
      <c r="D89" s="55" t="s">
        <v>1106</v>
      </c>
      <c r="E89" s="55" t="s">
        <v>293</v>
      </c>
      <c r="F89" s="55" t="s">
        <v>554</v>
      </c>
      <c r="G89" s="437">
        <v>181</v>
      </c>
      <c r="H89" s="437">
        <v>181</v>
      </c>
      <c r="J89" s="437">
        <v>132.8</v>
      </c>
      <c r="K89" s="475">
        <f t="shared" si="9"/>
        <v>73.37016574585637</v>
      </c>
      <c r="L89" s="475">
        <f t="shared" si="12"/>
        <v>73.37016574585637</v>
      </c>
    </row>
    <row r="90" spans="1:12" ht="24">
      <c r="A90" s="57" t="s">
        <v>445</v>
      </c>
      <c r="B90" s="52" t="s">
        <v>684</v>
      </c>
      <c r="C90" s="55" t="s">
        <v>418</v>
      </c>
      <c r="D90" s="55" t="s">
        <v>1106</v>
      </c>
      <c r="E90" s="55" t="s">
        <v>293</v>
      </c>
      <c r="F90" s="55" t="s">
        <v>446</v>
      </c>
      <c r="G90" s="437">
        <v>8838</v>
      </c>
      <c r="H90" s="437">
        <v>8838</v>
      </c>
      <c r="J90" s="437">
        <v>7348.5</v>
      </c>
      <c r="K90" s="475">
        <f t="shared" si="9"/>
        <v>83.14663951120163</v>
      </c>
      <c r="L90" s="475">
        <f t="shared" si="12"/>
        <v>83.14663951120163</v>
      </c>
    </row>
    <row r="91" spans="1:12" ht="30.75" customHeight="1">
      <c r="A91" s="57" t="s">
        <v>1007</v>
      </c>
      <c r="B91" s="52" t="s">
        <v>684</v>
      </c>
      <c r="C91" s="55" t="s">
        <v>418</v>
      </c>
      <c r="D91" s="55" t="s">
        <v>1106</v>
      </c>
      <c r="E91" s="55" t="s">
        <v>294</v>
      </c>
      <c r="F91" s="55" t="s">
        <v>920</v>
      </c>
      <c r="G91" s="436">
        <f>G92</f>
        <v>0</v>
      </c>
      <c r="H91" s="436">
        <f>H92</f>
        <v>204</v>
      </c>
      <c r="J91" s="436">
        <f>J92</f>
        <v>0</v>
      </c>
      <c r="K91" s="475">
        <v>0</v>
      </c>
      <c r="L91" s="475">
        <f t="shared" si="12"/>
        <v>0</v>
      </c>
    </row>
    <row r="92" spans="1:12" ht="27.75" customHeight="1">
      <c r="A92" s="62" t="s">
        <v>139</v>
      </c>
      <c r="B92" s="52" t="s">
        <v>684</v>
      </c>
      <c r="C92" s="55" t="s">
        <v>418</v>
      </c>
      <c r="D92" s="55" t="s">
        <v>1106</v>
      </c>
      <c r="E92" s="55" t="s">
        <v>294</v>
      </c>
      <c r="F92" s="55" t="s">
        <v>1454</v>
      </c>
      <c r="G92" s="436">
        <f>G93</f>
        <v>0</v>
      </c>
      <c r="H92" s="436">
        <f>H93</f>
        <v>204</v>
      </c>
      <c r="J92" s="436">
        <f>J93</f>
        <v>0</v>
      </c>
      <c r="K92" s="475">
        <v>0</v>
      </c>
      <c r="L92" s="475">
        <f t="shared" si="12"/>
        <v>0</v>
      </c>
    </row>
    <row r="93" spans="1:12" ht="18" customHeight="1">
      <c r="A93" s="57" t="s">
        <v>447</v>
      </c>
      <c r="B93" s="52" t="s">
        <v>684</v>
      </c>
      <c r="C93" s="55" t="s">
        <v>418</v>
      </c>
      <c r="D93" s="55" t="s">
        <v>1106</v>
      </c>
      <c r="E93" s="55" t="s">
        <v>294</v>
      </c>
      <c r="F93" s="55" t="s">
        <v>446</v>
      </c>
      <c r="G93" s="437">
        <v>0</v>
      </c>
      <c r="H93" s="437">
        <v>204</v>
      </c>
      <c r="J93" s="437">
        <v>0</v>
      </c>
      <c r="K93" s="475">
        <v>0</v>
      </c>
      <c r="L93" s="475">
        <f t="shared" si="12"/>
        <v>0</v>
      </c>
    </row>
    <row r="94" spans="1:12" ht="18" customHeight="1">
      <c r="A94" s="57" t="s">
        <v>295</v>
      </c>
      <c r="B94" s="52" t="s">
        <v>684</v>
      </c>
      <c r="C94" s="55" t="s">
        <v>418</v>
      </c>
      <c r="D94" s="55" t="s">
        <v>1106</v>
      </c>
      <c r="E94" s="55" t="s">
        <v>296</v>
      </c>
      <c r="F94" s="55"/>
      <c r="G94" s="436">
        <f>G95</f>
        <v>0</v>
      </c>
      <c r="H94" s="436">
        <f>H95</f>
        <v>791</v>
      </c>
      <c r="J94" s="436">
        <f>J95</f>
        <v>742.9000000000001</v>
      </c>
      <c r="K94" s="475">
        <v>0</v>
      </c>
      <c r="L94" s="475">
        <f t="shared" si="12"/>
        <v>93.91908975979774</v>
      </c>
    </row>
    <row r="95" spans="1:12" ht="30" customHeight="1">
      <c r="A95" s="62" t="s">
        <v>139</v>
      </c>
      <c r="B95" s="52" t="s">
        <v>684</v>
      </c>
      <c r="C95" s="55" t="s">
        <v>418</v>
      </c>
      <c r="D95" s="55" t="s">
        <v>1106</v>
      </c>
      <c r="E95" s="55" t="s">
        <v>296</v>
      </c>
      <c r="F95" s="55" t="s">
        <v>1454</v>
      </c>
      <c r="G95" s="436">
        <f>G96+G97</f>
        <v>0</v>
      </c>
      <c r="H95" s="436">
        <f>H96+H97</f>
        <v>791</v>
      </c>
      <c r="J95" s="436">
        <f>J96+J97</f>
        <v>742.9000000000001</v>
      </c>
      <c r="K95" s="475">
        <v>0</v>
      </c>
      <c r="L95" s="475">
        <f t="shared" si="12"/>
        <v>93.91908975979774</v>
      </c>
    </row>
    <row r="96" spans="1:12" ht="18" customHeight="1">
      <c r="A96" s="57" t="s">
        <v>553</v>
      </c>
      <c r="B96" s="52" t="s">
        <v>684</v>
      </c>
      <c r="C96" s="55" t="s">
        <v>418</v>
      </c>
      <c r="D96" s="55" t="s">
        <v>1106</v>
      </c>
      <c r="E96" s="55" t="s">
        <v>296</v>
      </c>
      <c r="F96" s="55" t="s">
        <v>554</v>
      </c>
      <c r="G96" s="437">
        <v>0</v>
      </c>
      <c r="H96" s="437">
        <v>269.5</v>
      </c>
      <c r="J96" s="437">
        <v>226.2</v>
      </c>
      <c r="K96" s="475">
        <v>0</v>
      </c>
      <c r="L96" s="475">
        <f t="shared" si="12"/>
        <v>83.93320964749536</v>
      </c>
    </row>
    <row r="97" spans="1:12" ht="18" customHeight="1">
      <c r="A97" s="57" t="s">
        <v>447</v>
      </c>
      <c r="B97" s="52" t="s">
        <v>684</v>
      </c>
      <c r="C97" s="55" t="s">
        <v>418</v>
      </c>
      <c r="D97" s="55" t="s">
        <v>1106</v>
      </c>
      <c r="E97" s="55" t="s">
        <v>296</v>
      </c>
      <c r="F97" s="55" t="s">
        <v>446</v>
      </c>
      <c r="G97" s="437">
        <v>0</v>
      </c>
      <c r="H97" s="437">
        <v>521.5</v>
      </c>
      <c r="J97" s="437">
        <v>516.7</v>
      </c>
      <c r="K97" s="475">
        <v>0</v>
      </c>
      <c r="L97" s="475">
        <f t="shared" si="12"/>
        <v>99.07957813998082</v>
      </c>
    </row>
    <row r="98" spans="1:12" ht="43.5" customHeight="1">
      <c r="A98" s="57" t="s">
        <v>1233</v>
      </c>
      <c r="B98" s="52" t="s">
        <v>684</v>
      </c>
      <c r="C98" s="55" t="s">
        <v>418</v>
      </c>
      <c r="D98" s="55" t="s">
        <v>1106</v>
      </c>
      <c r="E98" s="55" t="s">
        <v>1234</v>
      </c>
      <c r="F98" s="55" t="s">
        <v>920</v>
      </c>
      <c r="G98" s="436">
        <f>G99</f>
        <v>0</v>
      </c>
      <c r="H98" s="436">
        <f>H99</f>
        <v>2000</v>
      </c>
      <c r="J98" s="436">
        <f>J99</f>
        <v>2000</v>
      </c>
      <c r="K98" s="475">
        <v>0</v>
      </c>
      <c r="L98" s="475">
        <f t="shared" si="12"/>
        <v>100</v>
      </c>
    </row>
    <row r="99" spans="1:12" ht="23.25" customHeight="1">
      <c r="A99" s="62" t="s">
        <v>139</v>
      </c>
      <c r="B99" s="52" t="s">
        <v>684</v>
      </c>
      <c r="C99" s="55" t="s">
        <v>418</v>
      </c>
      <c r="D99" s="55" t="s">
        <v>1106</v>
      </c>
      <c r="E99" s="55" t="s">
        <v>1234</v>
      </c>
      <c r="F99" s="55" t="s">
        <v>1454</v>
      </c>
      <c r="G99" s="436">
        <f>G100</f>
        <v>0</v>
      </c>
      <c r="H99" s="436">
        <f>H100</f>
        <v>2000</v>
      </c>
      <c r="J99" s="436">
        <f>J100</f>
        <v>2000</v>
      </c>
      <c r="K99" s="475">
        <v>0</v>
      </c>
      <c r="L99" s="475">
        <f t="shared" si="12"/>
        <v>100</v>
      </c>
    </row>
    <row r="100" spans="1:12" ht="14.25" customHeight="1">
      <c r="A100" s="57" t="s">
        <v>447</v>
      </c>
      <c r="B100" s="52" t="s">
        <v>684</v>
      </c>
      <c r="C100" s="55" t="s">
        <v>418</v>
      </c>
      <c r="D100" s="55" t="s">
        <v>1106</v>
      </c>
      <c r="E100" s="55" t="s">
        <v>1234</v>
      </c>
      <c r="F100" s="55" t="s">
        <v>446</v>
      </c>
      <c r="G100" s="437">
        <v>0</v>
      </c>
      <c r="H100" s="437">
        <v>2000</v>
      </c>
      <c r="J100" s="437">
        <v>2000</v>
      </c>
      <c r="K100" s="475">
        <v>0</v>
      </c>
      <c r="L100" s="475">
        <f t="shared" si="12"/>
        <v>100</v>
      </c>
    </row>
    <row r="101" spans="1:12" ht="24.75" customHeight="1">
      <c r="A101" s="62" t="s">
        <v>139</v>
      </c>
      <c r="B101" s="52" t="s">
        <v>684</v>
      </c>
      <c r="C101" s="55" t="s">
        <v>418</v>
      </c>
      <c r="D101" s="55" t="s">
        <v>1106</v>
      </c>
      <c r="E101" s="55" t="s">
        <v>689</v>
      </c>
      <c r="F101" s="55" t="s">
        <v>1454</v>
      </c>
      <c r="G101" s="463">
        <f>G102</f>
        <v>0</v>
      </c>
      <c r="H101" s="463">
        <f>H102</f>
        <v>1153</v>
      </c>
      <c r="I101" s="464"/>
      <c r="J101" s="463">
        <f>J102</f>
        <v>1153</v>
      </c>
      <c r="K101" s="475">
        <v>0</v>
      </c>
      <c r="L101" s="475">
        <f t="shared" si="12"/>
        <v>100</v>
      </c>
    </row>
    <row r="102" spans="1:12" ht="37.5" customHeight="1">
      <c r="A102" s="57" t="s">
        <v>1023</v>
      </c>
      <c r="B102" s="52" t="s">
        <v>684</v>
      </c>
      <c r="C102" s="55" t="s">
        <v>418</v>
      </c>
      <c r="D102" s="55" t="s">
        <v>1106</v>
      </c>
      <c r="E102" s="55" t="s">
        <v>689</v>
      </c>
      <c r="F102" s="55" t="s">
        <v>446</v>
      </c>
      <c r="G102" s="437">
        <v>0</v>
      </c>
      <c r="H102" s="437">
        <v>1153</v>
      </c>
      <c r="J102" s="437">
        <v>1153</v>
      </c>
      <c r="K102" s="475">
        <v>0</v>
      </c>
      <c r="L102" s="475">
        <f t="shared" si="12"/>
        <v>100</v>
      </c>
    </row>
    <row r="103" spans="1:12" ht="24">
      <c r="A103" s="386" t="s">
        <v>1261</v>
      </c>
      <c r="B103" s="52" t="s">
        <v>684</v>
      </c>
      <c r="C103" s="55" t="s">
        <v>418</v>
      </c>
      <c r="D103" s="55" t="s">
        <v>1106</v>
      </c>
      <c r="E103" s="55" t="s">
        <v>1235</v>
      </c>
      <c r="F103" s="55" t="s">
        <v>920</v>
      </c>
      <c r="G103" s="436">
        <f>G104</f>
        <v>124012</v>
      </c>
      <c r="H103" s="436">
        <f>H104</f>
        <v>129186.4</v>
      </c>
      <c r="J103" s="436">
        <f>J104</f>
        <v>128359</v>
      </c>
      <c r="K103" s="475">
        <f>J103/G103*100</f>
        <v>103.50530593813502</v>
      </c>
      <c r="L103" s="475">
        <f aca="true" t="shared" si="13" ref="L103:L114">J103/H103*100</f>
        <v>99.35953010533616</v>
      </c>
    </row>
    <row r="104" spans="1:12" ht="24">
      <c r="A104" s="62" t="s">
        <v>139</v>
      </c>
      <c r="B104" s="52" t="s">
        <v>684</v>
      </c>
      <c r="C104" s="53" t="s">
        <v>418</v>
      </c>
      <c r="D104" s="53" t="s">
        <v>1106</v>
      </c>
      <c r="E104" s="55" t="s">
        <v>1235</v>
      </c>
      <c r="F104" s="55" t="s">
        <v>1454</v>
      </c>
      <c r="G104" s="436">
        <f>G105+G106</f>
        <v>124012</v>
      </c>
      <c r="H104" s="436">
        <f>H105+H106</f>
        <v>129186.4</v>
      </c>
      <c r="J104" s="436">
        <f>J105+J106</f>
        <v>128359</v>
      </c>
      <c r="K104" s="475">
        <f>J104/G104*100</f>
        <v>103.50530593813502</v>
      </c>
      <c r="L104" s="475">
        <f t="shared" si="13"/>
        <v>99.35953010533616</v>
      </c>
    </row>
    <row r="105" spans="1:12" ht="24" customHeight="1">
      <c r="A105" s="57" t="s">
        <v>1355</v>
      </c>
      <c r="B105" s="52" t="s">
        <v>684</v>
      </c>
      <c r="C105" s="53" t="s">
        <v>418</v>
      </c>
      <c r="D105" s="53" t="s">
        <v>1106</v>
      </c>
      <c r="E105" s="55" t="s">
        <v>1235</v>
      </c>
      <c r="F105" s="53" t="s">
        <v>554</v>
      </c>
      <c r="G105" s="437">
        <v>3834</v>
      </c>
      <c r="H105" s="437">
        <f>3758+38+46</f>
        <v>3842</v>
      </c>
      <c r="J105" s="437">
        <v>3637.6</v>
      </c>
      <c r="K105" s="475">
        <f>J105/G105*100</f>
        <v>94.8774126238915</v>
      </c>
      <c r="L105" s="475">
        <f t="shared" si="13"/>
        <v>94.67985424258198</v>
      </c>
    </row>
    <row r="106" spans="1:12" ht="24">
      <c r="A106" s="57" t="s">
        <v>1237</v>
      </c>
      <c r="B106" s="52" t="s">
        <v>684</v>
      </c>
      <c r="C106" s="53" t="s">
        <v>418</v>
      </c>
      <c r="D106" s="53" t="s">
        <v>1106</v>
      </c>
      <c r="E106" s="55" t="s">
        <v>1235</v>
      </c>
      <c r="F106" s="53" t="s">
        <v>446</v>
      </c>
      <c r="G106" s="437">
        <v>120178</v>
      </c>
      <c r="H106" s="437">
        <v>125344.4</v>
      </c>
      <c r="J106" s="437">
        <v>124721.4</v>
      </c>
      <c r="K106" s="475">
        <f>J106/G106*100</f>
        <v>103.78055883772403</v>
      </c>
      <c r="L106" s="475">
        <f t="shared" si="13"/>
        <v>99.50296941865771</v>
      </c>
    </row>
    <row r="107" spans="1:12" ht="36">
      <c r="A107" s="57" t="s">
        <v>1239</v>
      </c>
      <c r="B107" s="52" t="s">
        <v>684</v>
      </c>
      <c r="C107" s="53" t="s">
        <v>418</v>
      </c>
      <c r="D107" s="53" t="s">
        <v>1106</v>
      </c>
      <c r="E107" s="55" t="s">
        <v>1235</v>
      </c>
      <c r="F107" s="53" t="s">
        <v>446</v>
      </c>
      <c r="G107" s="437">
        <v>0</v>
      </c>
      <c r="H107" s="437">
        <v>400</v>
      </c>
      <c r="J107" s="437">
        <v>398.2</v>
      </c>
      <c r="K107" s="475">
        <v>0</v>
      </c>
      <c r="L107" s="475">
        <f t="shared" si="13"/>
        <v>99.55</v>
      </c>
    </row>
    <row r="108" spans="1:12" ht="24">
      <c r="A108" s="57" t="s">
        <v>1241</v>
      </c>
      <c r="B108" s="52" t="s">
        <v>684</v>
      </c>
      <c r="C108" s="53" t="s">
        <v>418</v>
      </c>
      <c r="D108" s="53" t="s">
        <v>1106</v>
      </c>
      <c r="E108" s="55" t="s">
        <v>1235</v>
      </c>
      <c r="F108" s="53" t="s">
        <v>446</v>
      </c>
      <c r="G108" s="437">
        <v>0</v>
      </c>
      <c r="H108" s="437">
        <f>117.3+36.8</f>
        <v>154.1</v>
      </c>
      <c r="J108" s="437">
        <v>117.2</v>
      </c>
      <c r="K108" s="475">
        <v>0</v>
      </c>
      <c r="L108" s="475">
        <f t="shared" si="13"/>
        <v>76.05451005840364</v>
      </c>
    </row>
    <row r="109" spans="1:12" ht="24">
      <c r="A109" s="57" t="s">
        <v>1242</v>
      </c>
      <c r="B109" s="52" t="s">
        <v>684</v>
      </c>
      <c r="C109" s="53" t="s">
        <v>418</v>
      </c>
      <c r="D109" s="53" t="s">
        <v>1106</v>
      </c>
      <c r="E109" s="55" t="s">
        <v>1235</v>
      </c>
      <c r="F109" s="53" t="s">
        <v>446</v>
      </c>
      <c r="G109" s="437">
        <v>0</v>
      </c>
      <c r="H109" s="437">
        <f>69.8+26</f>
        <v>95.8</v>
      </c>
      <c r="J109" s="437">
        <f>69.8+26</f>
        <v>95.8</v>
      </c>
      <c r="K109" s="475">
        <v>0</v>
      </c>
      <c r="L109" s="475">
        <f t="shared" si="13"/>
        <v>100</v>
      </c>
    </row>
    <row r="110" spans="1:12" ht="60">
      <c r="A110" s="57" t="s">
        <v>1311</v>
      </c>
      <c r="B110" s="52" t="s">
        <v>684</v>
      </c>
      <c r="C110" s="53" t="s">
        <v>418</v>
      </c>
      <c r="D110" s="53" t="s">
        <v>1106</v>
      </c>
      <c r="E110" s="55" t="s">
        <v>1235</v>
      </c>
      <c r="F110" s="53" t="s">
        <v>446</v>
      </c>
      <c r="G110" s="437">
        <v>0</v>
      </c>
      <c r="H110" s="437">
        <v>496.8</v>
      </c>
      <c r="J110" s="437">
        <v>496.8</v>
      </c>
      <c r="K110" s="475">
        <v>0</v>
      </c>
      <c r="L110" s="475">
        <f t="shared" si="13"/>
        <v>100</v>
      </c>
    </row>
    <row r="111" spans="1:12" ht="24">
      <c r="A111" s="57" t="s">
        <v>1312</v>
      </c>
      <c r="B111" s="52" t="s">
        <v>684</v>
      </c>
      <c r="C111" s="53" t="s">
        <v>418</v>
      </c>
      <c r="D111" s="53" t="s">
        <v>1106</v>
      </c>
      <c r="E111" s="55" t="s">
        <v>1235</v>
      </c>
      <c r="F111" s="53" t="s">
        <v>446</v>
      </c>
      <c r="G111" s="437">
        <v>0</v>
      </c>
      <c r="H111" s="437">
        <v>300</v>
      </c>
      <c r="J111" s="437">
        <v>300</v>
      </c>
      <c r="K111" s="475">
        <v>0</v>
      </c>
      <c r="L111" s="475">
        <f t="shared" si="13"/>
        <v>100</v>
      </c>
    </row>
    <row r="112" spans="1:12" ht="48">
      <c r="A112" s="62" t="s">
        <v>1313</v>
      </c>
      <c r="B112" s="52" t="s">
        <v>684</v>
      </c>
      <c r="C112" s="53" t="s">
        <v>418</v>
      </c>
      <c r="D112" s="53" t="s">
        <v>1106</v>
      </c>
      <c r="E112" s="55" t="s">
        <v>1235</v>
      </c>
      <c r="F112" s="53" t="s">
        <v>446</v>
      </c>
      <c r="G112" s="437">
        <v>0</v>
      </c>
      <c r="H112" s="437">
        <v>1037</v>
      </c>
      <c r="J112" s="437">
        <v>1037</v>
      </c>
      <c r="K112" s="475">
        <v>0</v>
      </c>
      <c r="L112" s="475">
        <f t="shared" si="13"/>
        <v>100</v>
      </c>
    </row>
    <row r="113" spans="1:12" ht="24">
      <c r="A113" s="62" t="s">
        <v>1378</v>
      </c>
      <c r="B113" s="52" t="s">
        <v>684</v>
      </c>
      <c r="C113" s="53" t="s">
        <v>418</v>
      </c>
      <c r="D113" s="53" t="s">
        <v>1106</v>
      </c>
      <c r="E113" s="55" t="s">
        <v>1235</v>
      </c>
      <c r="F113" s="53" t="s">
        <v>446</v>
      </c>
      <c r="G113" s="437">
        <v>0</v>
      </c>
      <c r="H113" s="437">
        <v>110.6</v>
      </c>
      <c r="J113" s="437">
        <v>110.4</v>
      </c>
      <c r="K113" s="475">
        <v>0</v>
      </c>
      <c r="L113" s="475">
        <f t="shared" si="13"/>
        <v>99.81916817359856</v>
      </c>
    </row>
    <row r="114" spans="1:12" ht="24">
      <c r="A114" s="62" t="s">
        <v>1268</v>
      </c>
      <c r="B114" s="52" t="s">
        <v>684</v>
      </c>
      <c r="C114" s="53" t="s">
        <v>418</v>
      </c>
      <c r="D114" s="53" t="s">
        <v>1106</v>
      </c>
      <c r="E114" s="55" t="s">
        <v>1235</v>
      </c>
      <c r="F114" s="53" t="s">
        <v>446</v>
      </c>
      <c r="G114" s="437">
        <v>0</v>
      </c>
      <c r="H114" s="437">
        <v>2080</v>
      </c>
      <c r="J114" s="437">
        <v>2080</v>
      </c>
      <c r="K114" s="475">
        <v>0</v>
      </c>
      <c r="L114" s="475">
        <f t="shared" si="13"/>
        <v>100</v>
      </c>
    </row>
    <row r="115" spans="1:12" ht="36">
      <c r="A115" s="62" t="s">
        <v>688</v>
      </c>
      <c r="B115" s="52" t="s">
        <v>684</v>
      </c>
      <c r="C115" s="53" t="s">
        <v>418</v>
      </c>
      <c r="D115" s="53" t="s">
        <v>1106</v>
      </c>
      <c r="E115" s="55" t="s">
        <v>1235</v>
      </c>
      <c r="F115" s="53" t="s">
        <v>446</v>
      </c>
      <c r="G115" s="455">
        <v>0</v>
      </c>
      <c r="H115" s="437">
        <v>17.9</v>
      </c>
      <c r="J115" s="437">
        <v>0</v>
      </c>
      <c r="K115" s="475">
        <v>0</v>
      </c>
      <c r="L115" s="475">
        <f aca="true" t="shared" si="14" ref="L115:L134">J115/H115*100</f>
        <v>0</v>
      </c>
    </row>
    <row r="116" spans="1:12" ht="36">
      <c r="A116" s="62" t="s">
        <v>1297</v>
      </c>
      <c r="B116" s="52" t="s">
        <v>684</v>
      </c>
      <c r="C116" s="53" t="s">
        <v>418</v>
      </c>
      <c r="D116" s="53" t="s">
        <v>1106</v>
      </c>
      <c r="E116" s="53" t="s">
        <v>1298</v>
      </c>
      <c r="F116" s="53" t="s">
        <v>920</v>
      </c>
      <c r="G116" s="436">
        <f>G133+G128+G117+G123+G120</f>
        <v>12049</v>
      </c>
      <c r="H116" s="436">
        <f>H133+H128+H117+H123+H120+H126</f>
        <v>31082.999999999996</v>
      </c>
      <c r="J116" s="436">
        <f>J133+J128+J117+J123+J120+J126</f>
        <v>30035.499999999996</v>
      </c>
      <c r="K116" s="475">
        <f>J116/G116*100</f>
        <v>249.27794837745867</v>
      </c>
      <c r="L116" s="475">
        <f t="shared" si="14"/>
        <v>96.62999067014123</v>
      </c>
    </row>
    <row r="117" spans="1:12" ht="24">
      <c r="A117" s="62" t="s">
        <v>139</v>
      </c>
      <c r="B117" s="52" t="s">
        <v>684</v>
      </c>
      <c r="C117" s="53" t="s">
        <v>1379</v>
      </c>
      <c r="D117" s="53" t="s">
        <v>1106</v>
      </c>
      <c r="E117" s="53" t="s">
        <v>1380</v>
      </c>
      <c r="F117" s="53" t="s">
        <v>1454</v>
      </c>
      <c r="G117" s="436">
        <f>G118</f>
        <v>0</v>
      </c>
      <c r="H117" s="436">
        <f>H118</f>
        <v>6028.4</v>
      </c>
      <c r="J117" s="436">
        <f>J118</f>
        <v>6028.4</v>
      </c>
      <c r="K117" s="475">
        <v>0</v>
      </c>
      <c r="L117" s="475">
        <f t="shared" si="14"/>
        <v>100</v>
      </c>
    </row>
    <row r="118" spans="1:12" ht="24">
      <c r="A118" s="57" t="s">
        <v>1237</v>
      </c>
      <c r="B118" s="52" t="s">
        <v>684</v>
      </c>
      <c r="C118" s="53" t="s">
        <v>1379</v>
      </c>
      <c r="D118" s="53" t="s">
        <v>1106</v>
      </c>
      <c r="E118" s="53" t="s">
        <v>1380</v>
      </c>
      <c r="F118" s="53" t="s">
        <v>446</v>
      </c>
      <c r="G118" s="436">
        <f>G119</f>
        <v>0</v>
      </c>
      <c r="H118" s="436">
        <f>H119</f>
        <v>6028.4</v>
      </c>
      <c r="J118" s="436">
        <f>J119</f>
        <v>6028.4</v>
      </c>
      <c r="K118" s="475">
        <v>0</v>
      </c>
      <c r="L118" s="475">
        <f t="shared" si="14"/>
        <v>100</v>
      </c>
    </row>
    <row r="119" spans="1:12" ht="60">
      <c r="A119" s="57" t="s">
        <v>1381</v>
      </c>
      <c r="B119" s="52" t="s">
        <v>684</v>
      </c>
      <c r="C119" s="53" t="s">
        <v>418</v>
      </c>
      <c r="D119" s="53" t="s">
        <v>1106</v>
      </c>
      <c r="E119" s="53" t="s">
        <v>1380</v>
      </c>
      <c r="F119" s="53" t="s">
        <v>446</v>
      </c>
      <c r="G119" s="437">
        <v>0</v>
      </c>
      <c r="H119" s="437">
        <v>6028.4</v>
      </c>
      <c r="J119" s="437">
        <v>6028.4</v>
      </c>
      <c r="K119" s="475">
        <v>0</v>
      </c>
      <c r="L119" s="475">
        <f t="shared" si="14"/>
        <v>100</v>
      </c>
    </row>
    <row r="120" spans="1:12" ht="24">
      <c r="A120" s="62" t="s">
        <v>139</v>
      </c>
      <c r="B120" s="52" t="s">
        <v>684</v>
      </c>
      <c r="C120" s="53" t="s">
        <v>418</v>
      </c>
      <c r="D120" s="53" t="s">
        <v>1106</v>
      </c>
      <c r="E120" s="53" t="s">
        <v>1382</v>
      </c>
      <c r="F120" s="53" t="s">
        <v>1454</v>
      </c>
      <c r="G120" s="438">
        <f>G121</f>
        <v>0</v>
      </c>
      <c r="H120" s="438">
        <f>H121</f>
        <v>2454.4</v>
      </c>
      <c r="J120" s="438">
        <f>J121</f>
        <v>2454.4</v>
      </c>
      <c r="K120" s="475">
        <v>0</v>
      </c>
      <c r="L120" s="475">
        <f t="shared" si="14"/>
        <v>100</v>
      </c>
    </row>
    <row r="121" spans="1:12" ht="24">
      <c r="A121" s="57" t="s">
        <v>1237</v>
      </c>
      <c r="B121" s="52" t="s">
        <v>684</v>
      </c>
      <c r="C121" s="53" t="s">
        <v>418</v>
      </c>
      <c r="D121" s="53" t="s">
        <v>1106</v>
      </c>
      <c r="E121" s="53" t="s">
        <v>1382</v>
      </c>
      <c r="F121" s="53" t="s">
        <v>446</v>
      </c>
      <c r="G121" s="438">
        <f>G122</f>
        <v>0</v>
      </c>
      <c r="H121" s="438">
        <f>H122</f>
        <v>2454.4</v>
      </c>
      <c r="J121" s="438">
        <f>J122</f>
        <v>2454.4</v>
      </c>
      <c r="K121" s="475">
        <v>0</v>
      </c>
      <c r="L121" s="475">
        <f t="shared" si="14"/>
        <v>100</v>
      </c>
    </row>
    <row r="122" spans="1:12" ht="24">
      <c r="A122" s="57" t="s">
        <v>1383</v>
      </c>
      <c r="B122" s="52" t="s">
        <v>684</v>
      </c>
      <c r="C122" s="53" t="s">
        <v>418</v>
      </c>
      <c r="D122" s="53" t="s">
        <v>1106</v>
      </c>
      <c r="E122" s="53" t="s">
        <v>1382</v>
      </c>
      <c r="F122" s="53" t="s">
        <v>446</v>
      </c>
      <c r="G122" s="437">
        <v>0</v>
      </c>
      <c r="H122" s="437">
        <v>2454.4</v>
      </c>
      <c r="J122" s="437">
        <v>2454.4</v>
      </c>
      <c r="K122" s="475">
        <v>0</v>
      </c>
      <c r="L122" s="475">
        <f t="shared" si="14"/>
        <v>100</v>
      </c>
    </row>
    <row r="123" spans="1:12" ht="24">
      <c r="A123" s="62" t="s">
        <v>139</v>
      </c>
      <c r="B123" s="52" t="s">
        <v>684</v>
      </c>
      <c r="C123" s="53" t="s">
        <v>418</v>
      </c>
      <c r="D123" s="53" t="s">
        <v>1106</v>
      </c>
      <c r="E123" s="53" t="s">
        <v>1384</v>
      </c>
      <c r="F123" s="53" t="s">
        <v>1454</v>
      </c>
      <c r="G123" s="436">
        <f>G124</f>
        <v>0</v>
      </c>
      <c r="H123" s="436">
        <f>H124</f>
        <v>7166.8</v>
      </c>
      <c r="J123" s="436">
        <f>J124</f>
        <v>7166.8</v>
      </c>
      <c r="K123" s="475">
        <v>0</v>
      </c>
      <c r="L123" s="475">
        <f t="shared" si="14"/>
        <v>100</v>
      </c>
    </row>
    <row r="124" spans="1:12" ht="24">
      <c r="A124" s="57" t="s">
        <v>1237</v>
      </c>
      <c r="B124" s="52" t="s">
        <v>684</v>
      </c>
      <c r="C124" s="53" t="s">
        <v>418</v>
      </c>
      <c r="D124" s="53" t="s">
        <v>1106</v>
      </c>
      <c r="E124" s="53" t="s">
        <v>1384</v>
      </c>
      <c r="F124" s="53" t="s">
        <v>446</v>
      </c>
      <c r="G124" s="436">
        <f>G125</f>
        <v>0</v>
      </c>
      <c r="H124" s="436">
        <f>H125</f>
        <v>7166.8</v>
      </c>
      <c r="J124" s="436">
        <f>J125</f>
        <v>7166.8</v>
      </c>
      <c r="K124" s="475">
        <v>0</v>
      </c>
      <c r="L124" s="475">
        <f t="shared" si="14"/>
        <v>100</v>
      </c>
    </row>
    <row r="125" spans="1:12" ht="60">
      <c r="A125" s="57" t="s">
        <v>1381</v>
      </c>
      <c r="B125" s="52" t="s">
        <v>684</v>
      </c>
      <c r="C125" s="53" t="s">
        <v>418</v>
      </c>
      <c r="D125" s="53" t="s">
        <v>1106</v>
      </c>
      <c r="E125" s="53" t="s">
        <v>1384</v>
      </c>
      <c r="F125" s="53" t="s">
        <v>446</v>
      </c>
      <c r="G125" s="437">
        <v>0</v>
      </c>
      <c r="H125" s="437">
        <v>7166.8</v>
      </c>
      <c r="J125" s="437">
        <v>7166.8</v>
      </c>
      <c r="K125" s="475">
        <v>0</v>
      </c>
      <c r="L125" s="475">
        <f t="shared" si="14"/>
        <v>100</v>
      </c>
    </row>
    <row r="126" spans="1:12" ht="24">
      <c r="A126" s="62" t="s">
        <v>139</v>
      </c>
      <c r="B126" s="52" t="s">
        <v>684</v>
      </c>
      <c r="C126" s="53" t="s">
        <v>418</v>
      </c>
      <c r="D126" s="53" t="s">
        <v>1106</v>
      </c>
      <c r="E126" s="53" t="s">
        <v>1022</v>
      </c>
      <c r="F126" s="53" t="s">
        <v>1454</v>
      </c>
      <c r="G126" s="437">
        <f>G127</f>
        <v>0</v>
      </c>
      <c r="H126" s="437">
        <f>H127</f>
        <v>1705.6</v>
      </c>
      <c r="J126" s="437">
        <f>J127</f>
        <v>1705.6</v>
      </c>
      <c r="K126" s="475">
        <v>0</v>
      </c>
      <c r="L126" s="475">
        <f t="shared" si="14"/>
        <v>100</v>
      </c>
    </row>
    <row r="127" spans="1:12" ht="36">
      <c r="A127" s="57" t="s">
        <v>690</v>
      </c>
      <c r="B127" s="52" t="s">
        <v>684</v>
      </c>
      <c r="C127" s="53" t="s">
        <v>418</v>
      </c>
      <c r="D127" s="53" t="s">
        <v>1106</v>
      </c>
      <c r="E127" s="53" t="s">
        <v>1022</v>
      </c>
      <c r="F127" s="53" t="s">
        <v>446</v>
      </c>
      <c r="G127" s="437">
        <v>0</v>
      </c>
      <c r="H127" s="437">
        <v>1705.6</v>
      </c>
      <c r="J127" s="437">
        <v>1705.6</v>
      </c>
      <c r="K127" s="475">
        <v>0</v>
      </c>
      <c r="L127" s="475">
        <f t="shared" si="14"/>
        <v>100</v>
      </c>
    </row>
    <row r="128" spans="1:12" ht="24">
      <c r="A128" s="62" t="s">
        <v>139</v>
      </c>
      <c r="B128" s="52" t="s">
        <v>684</v>
      </c>
      <c r="C128" s="53" t="s">
        <v>418</v>
      </c>
      <c r="D128" s="53" t="s">
        <v>1106</v>
      </c>
      <c r="E128" s="53" t="s">
        <v>1385</v>
      </c>
      <c r="F128" s="53" t="s">
        <v>1454</v>
      </c>
      <c r="G128" s="436">
        <f>G129</f>
        <v>0</v>
      </c>
      <c r="H128" s="436">
        <f>H129</f>
        <v>2081.8</v>
      </c>
      <c r="J128" s="436">
        <f>J129</f>
        <v>2081.8</v>
      </c>
      <c r="K128" s="475">
        <v>0</v>
      </c>
      <c r="L128" s="475">
        <f t="shared" si="14"/>
        <v>100</v>
      </c>
    </row>
    <row r="129" spans="1:12" ht="24">
      <c r="A129" s="57" t="s">
        <v>1237</v>
      </c>
      <c r="B129" s="52" t="s">
        <v>684</v>
      </c>
      <c r="C129" s="53" t="s">
        <v>418</v>
      </c>
      <c r="D129" s="53" t="s">
        <v>1106</v>
      </c>
      <c r="E129" s="53" t="s">
        <v>1385</v>
      </c>
      <c r="F129" s="53" t="s">
        <v>446</v>
      </c>
      <c r="G129" s="436">
        <f>G130+G131+G132</f>
        <v>0</v>
      </c>
      <c r="H129" s="436">
        <f>H130+H131+H132</f>
        <v>2081.8</v>
      </c>
      <c r="J129" s="436">
        <f>J130+J131+J132</f>
        <v>2081.8</v>
      </c>
      <c r="K129" s="475">
        <v>0</v>
      </c>
      <c r="L129" s="475">
        <f t="shared" si="14"/>
        <v>100</v>
      </c>
    </row>
    <row r="130" spans="1:12" ht="24">
      <c r="A130" s="57" t="s">
        <v>1386</v>
      </c>
      <c r="B130" s="52" t="s">
        <v>684</v>
      </c>
      <c r="C130" s="53" t="s">
        <v>418</v>
      </c>
      <c r="D130" s="53" t="s">
        <v>1106</v>
      </c>
      <c r="E130" s="53" t="s">
        <v>1385</v>
      </c>
      <c r="F130" s="53" t="s">
        <v>446</v>
      </c>
      <c r="G130" s="437">
        <v>0</v>
      </c>
      <c r="H130" s="437">
        <v>201.2</v>
      </c>
      <c r="J130" s="437">
        <v>201.2</v>
      </c>
      <c r="K130" s="475">
        <v>0</v>
      </c>
      <c r="L130" s="475">
        <f t="shared" si="14"/>
        <v>100</v>
      </c>
    </row>
    <row r="131" spans="1:12" ht="36">
      <c r="A131" s="57" t="s">
        <v>1387</v>
      </c>
      <c r="B131" s="52" t="s">
        <v>684</v>
      </c>
      <c r="C131" s="53" t="s">
        <v>418</v>
      </c>
      <c r="D131" s="53" t="s">
        <v>1106</v>
      </c>
      <c r="E131" s="53" t="s">
        <v>1385</v>
      </c>
      <c r="F131" s="53" t="s">
        <v>446</v>
      </c>
      <c r="G131" s="437">
        <v>0</v>
      </c>
      <c r="H131" s="437">
        <v>1710</v>
      </c>
      <c r="J131" s="437">
        <v>1710</v>
      </c>
      <c r="K131" s="475">
        <v>0</v>
      </c>
      <c r="L131" s="475">
        <f t="shared" si="14"/>
        <v>100</v>
      </c>
    </row>
    <row r="132" spans="1:12" ht="48">
      <c r="A132" s="62" t="s">
        <v>1377</v>
      </c>
      <c r="B132" s="52" t="s">
        <v>684</v>
      </c>
      <c r="C132" s="53" t="s">
        <v>418</v>
      </c>
      <c r="D132" s="53" t="s">
        <v>1106</v>
      </c>
      <c r="E132" s="53" t="s">
        <v>1385</v>
      </c>
      <c r="F132" s="53" t="s">
        <v>446</v>
      </c>
      <c r="G132" s="437">
        <v>0</v>
      </c>
      <c r="H132" s="437">
        <v>170.6</v>
      </c>
      <c r="J132" s="437">
        <v>170.6</v>
      </c>
      <c r="K132" s="475">
        <v>0</v>
      </c>
      <c r="L132" s="475">
        <f t="shared" si="14"/>
        <v>100</v>
      </c>
    </row>
    <row r="133" spans="1:12" ht="24">
      <c r="A133" s="62" t="s">
        <v>139</v>
      </c>
      <c r="B133" s="52" t="s">
        <v>684</v>
      </c>
      <c r="C133" s="53" t="s">
        <v>418</v>
      </c>
      <c r="D133" s="53" t="s">
        <v>1106</v>
      </c>
      <c r="E133" s="53" t="s">
        <v>1388</v>
      </c>
      <c r="F133" s="53" t="s">
        <v>1454</v>
      </c>
      <c r="G133" s="436">
        <f>G134</f>
        <v>12049</v>
      </c>
      <c r="H133" s="436">
        <f>H134</f>
        <v>11646</v>
      </c>
      <c r="J133" s="436">
        <f>J134</f>
        <v>10598.5</v>
      </c>
      <c r="K133" s="475">
        <f>J133/G133*100</f>
        <v>87.96165656900988</v>
      </c>
      <c r="L133" s="475">
        <f t="shared" si="14"/>
        <v>91.00549544908122</v>
      </c>
    </row>
    <row r="134" spans="1:12" ht="24">
      <c r="A134" s="57" t="s">
        <v>553</v>
      </c>
      <c r="B134" s="52" t="s">
        <v>684</v>
      </c>
      <c r="C134" s="53" t="s">
        <v>418</v>
      </c>
      <c r="D134" s="53" t="s">
        <v>1106</v>
      </c>
      <c r="E134" s="53" t="s">
        <v>1388</v>
      </c>
      <c r="F134" s="53" t="s">
        <v>554</v>
      </c>
      <c r="G134" s="437">
        <f>12049</f>
        <v>12049</v>
      </c>
      <c r="H134" s="437">
        <f>12049-403</f>
        <v>11646</v>
      </c>
      <c r="J134" s="437">
        <v>10598.5</v>
      </c>
      <c r="K134" s="475">
        <f>J134/G134*100</f>
        <v>87.96165656900988</v>
      </c>
      <c r="L134" s="475">
        <f t="shared" si="14"/>
        <v>91.00549544908122</v>
      </c>
    </row>
    <row r="135" spans="1:12" ht="60">
      <c r="A135" s="57" t="s">
        <v>1389</v>
      </c>
      <c r="B135" s="52" t="s">
        <v>684</v>
      </c>
      <c r="C135" s="53" t="s">
        <v>418</v>
      </c>
      <c r="D135" s="53" t="s">
        <v>1106</v>
      </c>
      <c r="E135" s="53" t="s">
        <v>288</v>
      </c>
      <c r="F135" s="53"/>
      <c r="G135" s="436">
        <f>G136+G140+G144+G149</f>
        <v>101692</v>
      </c>
      <c r="H135" s="436">
        <f>H136+H140+H144+H149</f>
        <v>101820</v>
      </c>
      <c r="J135" s="436">
        <f>J136+J140+J144+J149</f>
        <v>100720.40000000001</v>
      </c>
      <c r="K135" s="475">
        <f>J135/G135*100</f>
        <v>99.04456594422373</v>
      </c>
      <c r="L135" s="475">
        <f aca="true" t="shared" si="15" ref="L135:L150">J135/H135*100</f>
        <v>98.92005499901788</v>
      </c>
    </row>
    <row r="136" spans="1:12" ht="60">
      <c r="A136" s="57" t="s">
        <v>1389</v>
      </c>
      <c r="B136" s="52" t="s">
        <v>684</v>
      </c>
      <c r="C136" s="53" t="s">
        <v>418</v>
      </c>
      <c r="D136" s="53" t="s">
        <v>1106</v>
      </c>
      <c r="E136" s="53" t="s">
        <v>1390</v>
      </c>
      <c r="F136" s="53" t="s">
        <v>920</v>
      </c>
      <c r="G136" s="436">
        <f>G137</f>
        <v>0</v>
      </c>
      <c r="H136" s="436">
        <f>H137</f>
        <v>9430</v>
      </c>
      <c r="J136" s="436">
        <f>J137</f>
        <v>9421.400000000001</v>
      </c>
      <c r="K136" s="475">
        <v>0</v>
      </c>
      <c r="L136" s="475">
        <f t="shared" si="15"/>
        <v>99.90880169671263</v>
      </c>
    </row>
    <row r="137" spans="1:12" ht="24">
      <c r="A137" s="62" t="s">
        <v>139</v>
      </c>
      <c r="B137" s="52" t="s">
        <v>684</v>
      </c>
      <c r="C137" s="53" t="s">
        <v>418</v>
      </c>
      <c r="D137" s="53" t="s">
        <v>1106</v>
      </c>
      <c r="E137" s="53" t="s">
        <v>1390</v>
      </c>
      <c r="F137" s="53" t="s">
        <v>1454</v>
      </c>
      <c r="G137" s="436">
        <f>G138+G139</f>
        <v>0</v>
      </c>
      <c r="H137" s="436">
        <f>H138+H139</f>
        <v>9430</v>
      </c>
      <c r="J137" s="436">
        <f>J138+J139</f>
        <v>9421.400000000001</v>
      </c>
      <c r="K137" s="475">
        <v>0</v>
      </c>
      <c r="L137" s="475">
        <f t="shared" si="15"/>
        <v>99.90880169671263</v>
      </c>
    </row>
    <row r="138" spans="1:12" ht="24">
      <c r="A138" s="57" t="s">
        <v>553</v>
      </c>
      <c r="B138" s="52" t="s">
        <v>684</v>
      </c>
      <c r="C138" s="53" t="s">
        <v>418</v>
      </c>
      <c r="D138" s="53" t="s">
        <v>1106</v>
      </c>
      <c r="E138" s="53" t="s">
        <v>1390</v>
      </c>
      <c r="F138" s="53" t="s">
        <v>554</v>
      </c>
      <c r="G138" s="437">
        <v>0</v>
      </c>
      <c r="H138" s="437">
        <f>7728-419.8</f>
        <v>7308.2</v>
      </c>
      <c r="J138" s="437">
        <v>7299.6</v>
      </c>
      <c r="K138" s="475">
        <v>0</v>
      </c>
      <c r="L138" s="475">
        <f t="shared" si="15"/>
        <v>99.8823239648614</v>
      </c>
    </row>
    <row r="139" spans="1:12" ht="24">
      <c r="A139" s="57" t="s">
        <v>445</v>
      </c>
      <c r="B139" s="52" t="s">
        <v>684</v>
      </c>
      <c r="C139" s="53" t="s">
        <v>418</v>
      </c>
      <c r="D139" s="53" t="s">
        <v>1106</v>
      </c>
      <c r="E139" s="53" t="s">
        <v>1390</v>
      </c>
      <c r="F139" s="53" t="s">
        <v>446</v>
      </c>
      <c r="G139" s="437">
        <v>0</v>
      </c>
      <c r="H139" s="437">
        <f>1702+419.8</f>
        <v>2121.8</v>
      </c>
      <c r="J139" s="437">
        <f>1702+419.8</f>
        <v>2121.8</v>
      </c>
      <c r="K139" s="475">
        <v>0</v>
      </c>
      <c r="L139" s="475">
        <f t="shared" si="15"/>
        <v>100</v>
      </c>
    </row>
    <row r="140" spans="1:12" ht="48">
      <c r="A140" s="57" t="s">
        <v>287</v>
      </c>
      <c r="B140" s="52" t="s">
        <v>684</v>
      </c>
      <c r="C140" s="53" t="s">
        <v>418</v>
      </c>
      <c r="D140" s="53" t="s">
        <v>1106</v>
      </c>
      <c r="E140" s="53" t="s">
        <v>244</v>
      </c>
      <c r="F140" s="53" t="s">
        <v>920</v>
      </c>
      <c r="G140" s="436">
        <f>G141</f>
        <v>0</v>
      </c>
      <c r="H140" s="436">
        <f>H141</f>
        <v>650</v>
      </c>
      <c r="J140" s="436">
        <f>J141</f>
        <v>650</v>
      </c>
      <c r="K140" s="475">
        <v>0</v>
      </c>
      <c r="L140" s="475">
        <f t="shared" si="15"/>
        <v>100</v>
      </c>
    </row>
    <row r="141" spans="1:12" ht="24">
      <c r="A141" s="62" t="s">
        <v>245</v>
      </c>
      <c r="B141" s="52" t="s">
        <v>684</v>
      </c>
      <c r="C141" s="53" t="s">
        <v>418</v>
      </c>
      <c r="D141" s="53" t="s">
        <v>1106</v>
      </c>
      <c r="E141" s="53" t="s">
        <v>1391</v>
      </c>
      <c r="F141" s="53" t="s">
        <v>1454</v>
      </c>
      <c r="G141" s="436">
        <f>G142+G143</f>
        <v>0</v>
      </c>
      <c r="H141" s="436">
        <f>H142+H143</f>
        <v>650</v>
      </c>
      <c r="J141" s="436">
        <f>J142+J143</f>
        <v>650</v>
      </c>
      <c r="K141" s="475">
        <v>0</v>
      </c>
      <c r="L141" s="475">
        <f t="shared" si="15"/>
        <v>100</v>
      </c>
    </row>
    <row r="142" spans="1:12" ht="48">
      <c r="A142" s="57" t="s">
        <v>1392</v>
      </c>
      <c r="B142" s="52" t="s">
        <v>684</v>
      </c>
      <c r="C142" s="53" t="s">
        <v>418</v>
      </c>
      <c r="D142" s="53" t="s">
        <v>1106</v>
      </c>
      <c r="E142" s="53" t="s">
        <v>1391</v>
      </c>
      <c r="F142" s="53" t="s">
        <v>446</v>
      </c>
      <c r="G142" s="437">
        <v>0</v>
      </c>
      <c r="H142" s="437">
        <v>250</v>
      </c>
      <c r="J142" s="437">
        <v>250</v>
      </c>
      <c r="K142" s="475">
        <v>0</v>
      </c>
      <c r="L142" s="475">
        <f t="shared" si="15"/>
        <v>100</v>
      </c>
    </row>
    <row r="143" spans="1:12" ht="36">
      <c r="A143" s="57" t="s">
        <v>566</v>
      </c>
      <c r="B143" s="52" t="s">
        <v>684</v>
      </c>
      <c r="C143" s="53" t="s">
        <v>418</v>
      </c>
      <c r="D143" s="53" t="s">
        <v>1106</v>
      </c>
      <c r="E143" s="53" t="s">
        <v>1391</v>
      </c>
      <c r="F143" s="53" t="s">
        <v>446</v>
      </c>
      <c r="G143" s="437">
        <v>0</v>
      </c>
      <c r="H143" s="437">
        <v>400</v>
      </c>
      <c r="J143" s="437">
        <v>400</v>
      </c>
      <c r="K143" s="475">
        <v>0</v>
      </c>
      <c r="L143" s="475">
        <f t="shared" si="15"/>
        <v>100</v>
      </c>
    </row>
    <row r="144" spans="1:12" ht="24">
      <c r="A144" s="62" t="s">
        <v>139</v>
      </c>
      <c r="B144" s="52" t="s">
        <v>684</v>
      </c>
      <c r="C144" s="53" t="s">
        <v>418</v>
      </c>
      <c r="D144" s="53" t="s">
        <v>1106</v>
      </c>
      <c r="E144" s="53" t="s">
        <v>567</v>
      </c>
      <c r="F144" s="53" t="s">
        <v>1454</v>
      </c>
      <c r="G144" s="436">
        <f>G145+G148</f>
        <v>76044</v>
      </c>
      <c r="H144" s="436">
        <f>H145+H148</f>
        <v>67842</v>
      </c>
      <c r="J144" s="436">
        <f>J145+J148</f>
        <v>66803.2</v>
      </c>
      <c r="K144" s="475">
        <f>J144/G144*100</f>
        <v>87.84808794908211</v>
      </c>
      <c r="L144" s="475">
        <f t="shared" si="15"/>
        <v>98.46879514165265</v>
      </c>
    </row>
    <row r="145" spans="1:12" ht="24">
      <c r="A145" s="57" t="s">
        <v>512</v>
      </c>
      <c r="B145" s="52" t="s">
        <v>684</v>
      </c>
      <c r="C145" s="53" t="s">
        <v>418</v>
      </c>
      <c r="D145" s="53" t="s">
        <v>1106</v>
      </c>
      <c r="E145" s="53" t="s">
        <v>567</v>
      </c>
      <c r="F145" s="53" t="s">
        <v>554</v>
      </c>
      <c r="G145" s="437">
        <f>63790</f>
        <v>63790</v>
      </c>
      <c r="H145" s="437">
        <f>63790+456-7728-3129.8+24+300+904</f>
        <v>54616.2</v>
      </c>
      <c r="J145" s="437">
        <v>53968.5</v>
      </c>
      <c r="K145" s="475">
        <f>J145/G145*100</f>
        <v>84.60338611067564</v>
      </c>
      <c r="L145" s="475">
        <f t="shared" si="15"/>
        <v>98.81408812769838</v>
      </c>
    </row>
    <row r="146" spans="1:12" ht="24">
      <c r="A146" s="57" t="s">
        <v>1242</v>
      </c>
      <c r="B146" s="52" t="s">
        <v>684</v>
      </c>
      <c r="C146" s="53" t="s">
        <v>418</v>
      </c>
      <c r="D146" s="53" t="s">
        <v>1106</v>
      </c>
      <c r="E146" s="53" t="s">
        <v>567</v>
      </c>
      <c r="F146" s="53" t="s">
        <v>554</v>
      </c>
      <c r="G146" s="437">
        <v>0</v>
      </c>
      <c r="H146" s="437">
        <v>24</v>
      </c>
      <c r="J146" s="437">
        <v>16</v>
      </c>
      <c r="K146" s="475">
        <v>0</v>
      </c>
      <c r="L146" s="475">
        <f t="shared" si="15"/>
        <v>66.66666666666666</v>
      </c>
    </row>
    <row r="147" spans="1:12" ht="24">
      <c r="A147" s="57" t="s">
        <v>1312</v>
      </c>
      <c r="B147" s="52" t="s">
        <v>684</v>
      </c>
      <c r="C147" s="53" t="s">
        <v>418</v>
      </c>
      <c r="D147" s="53" t="s">
        <v>1106</v>
      </c>
      <c r="E147" s="53" t="s">
        <v>567</v>
      </c>
      <c r="F147" s="53" t="s">
        <v>554</v>
      </c>
      <c r="G147" s="437">
        <v>0</v>
      </c>
      <c r="H147" s="437">
        <v>300</v>
      </c>
      <c r="J147" s="437">
        <v>300</v>
      </c>
      <c r="K147" s="475">
        <v>0</v>
      </c>
      <c r="L147" s="475">
        <f t="shared" si="15"/>
        <v>100</v>
      </c>
    </row>
    <row r="148" spans="1:12" ht="24">
      <c r="A148" s="57" t="s">
        <v>445</v>
      </c>
      <c r="B148" s="52" t="s">
        <v>684</v>
      </c>
      <c r="C148" s="53" t="s">
        <v>418</v>
      </c>
      <c r="D148" s="53" t="s">
        <v>1106</v>
      </c>
      <c r="E148" s="53" t="s">
        <v>567</v>
      </c>
      <c r="F148" s="53" t="s">
        <v>446</v>
      </c>
      <c r="G148" s="437">
        <f>12254</f>
        <v>12254</v>
      </c>
      <c r="H148" s="437">
        <f>12254-456-1702+3129.8</f>
        <v>13225.8</v>
      </c>
      <c r="J148" s="437">
        <v>12834.7</v>
      </c>
      <c r="K148" s="475">
        <f>J148/G148*100</f>
        <v>104.73886078015342</v>
      </c>
      <c r="L148" s="475">
        <f t="shared" si="15"/>
        <v>97.04290099653709</v>
      </c>
    </row>
    <row r="149" spans="1:12" ht="24">
      <c r="A149" s="62" t="s">
        <v>139</v>
      </c>
      <c r="B149" s="52" t="s">
        <v>684</v>
      </c>
      <c r="C149" s="53" t="s">
        <v>418</v>
      </c>
      <c r="D149" s="53" t="s">
        <v>1106</v>
      </c>
      <c r="E149" s="53" t="s">
        <v>568</v>
      </c>
      <c r="F149" s="53" t="s">
        <v>1454</v>
      </c>
      <c r="G149" s="436">
        <f>G150</f>
        <v>25648</v>
      </c>
      <c r="H149" s="436">
        <f>H150</f>
        <v>23898</v>
      </c>
      <c r="J149" s="436">
        <f>J150</f>
        <v>23845.8</v>
      </c>
      <c r="K149" s="475">
        <f>J149/G149*100</f>
        <v>92.97333125389893</v>
      </c>
      <c r="L149" s="475">
        <f t="shared" si="15"/>
        <v>99.78157167963846</v>
      </c>
    </row>
    <row r="150" spans="1:12" ht="24">
      <c r="A150" s="57" t="s">
        <v>553</v>
      </c>
      <c r="B150" s="52" t="s">
        <v>684</v>
      </c>
      <c r="C150" s="53" t="s">
        <v>418</v>
      </c>
      <c r="D150" s="53" t="s">
        <v>1106</v>
      </c>
      <c r="E150" s="53" t="s">
        <v>568</v>
      </c>
      <c r="F150" s="53" t="s">
        <v>554</v>
      </c>
      <c r="G150" s="437">
        <f>25648</f>
        <v>25648</v>
      </c>
      <c r="H150" s="437">
        <f>25648-1500-250</f>
        <v>23898</v>
      </c>
      <c r="J150" s="437">
        <v>23845.8</v>
      </c>
      <c r="K150" s="475">
        <f>J150/G150*100</f>
        <v>92.97333125389893</v>
      </c>
      <c r="L150" s="475">
        <f t="shared" si="15"/>
        <v>99.78157167963846</v>
      </c>
    </row>
    <row r="151" spans="1:12" ht="36">
      <c r="A151" s="57" t="s">
        <v>1244</v>
      </c>
      <c r="B151" s="52" t="s">
        <v>684</v>
      </c>
      <c r="C151" s="53" t="s">
        <v>418</v>
      </c>
      <c r="D151" s="53" t="s">
        <v>1106</v>
      </c>
      <c r="E151" s="53" t="s">
        <v>1245</v>
      </c>
      <c r="F151" s="53"/>
      <c r="G151" s="436">
        <f>G152+G155+G160+G169</f>
        <v>0</v>
      </c>
      <c r="H151" s="436">
        <f>H152+H155+H160+H169</f>
        <v>35744.5</v>
      </c>
      <c r="J151" s="436">
        <f>J152+J155+J160+J169</f>
        <v>35610.8</v>
      </c>
      <c r="K151" s="475">
        <v>0</v>
      </c>
      <c r="L151" s="475">
        <f aca="true" t="shared" si="16" ref="L151:L183">J151/H151*100</f>
        <v>99.62595644085106</v>
      </c>
    </row>
    <row r="152" spans="1:12" ht="24">
      <c r="A152" s="62" t="s">
        <v>139</v>
      </c>
      <c r="B152" s="52" t="s">
        <v>684</v>
      </c>
      <c r="C152" s="53" t="s">
        <v>418</v>
      </c>
      <c r="D152" s="53" t="s">
        <v>1106</v>
      </c>
      <c r="E152" s="53" t="s">
        <v>569</v>
      </c>
      <c r="F152" s="53" t="s">
        <v>1454</v>
      </c>
      <c r="G152" s="436">
        <f>G153</f>
        <v>0</v>
      </c>
      <c r="H152" s="436">
        <f>H153</f>
        <v>8043</v>
      </c>
      <c r="J152" s="436">
        <f>J153</f>
        <v>8043</v>
      </c>
      <c r="K152" s="475">
        <v>0</v>
      </c>
      <c r="L152" s="475">
        <f t="shared" si="16"/>
        <v>100</v>
      </c>
    </row>
    <row r="153" spans="1:12" ht="24">
      <c r="A153" s="57" t="s">
        <v>267</v>
      </c>
      <c r="B153" s="52" t="s">
        <v>684</v>
      </c>
      <c r="C153" s="53" t="s">
        <v>418</v>
      </c>
      <c r="D153" s="53" t="s">
        <v>1106</v>
      </c>
      <c r="E153" s="53" t="s">
        <v>569</v>
      </c>
      <c r="F153" s="53" t="s">
        <v>446</v>
      </c>
      <c r="G153" s="436">
        <f>G154</f>
        <v>0</v>
      </c>
      <c r="H153" s="436">
        <f>H154</f>
        <v>8043</v>
      </c>
      <c r="J153" s="436">
        <f>J154</f>
        <v>8043</v>
      </c>
      <c r="K153" s="475">
        <v>0</v>
      </c>
      <c r="L153" s="475">
        <f t="shared" si="16"/>
        <v>100</v>
      </c>
    </row>
    <row r="154" spans="1:12" ht="60">
      <c r="A154" s="57" t="s">
        <v>1232</v>
      </c>
      <c r="B154" s="52" t="s">
        <v>684</v>
      </c>
      <c r="C154" s="53" t="s">
        <v>418</v>
      </c>
      <c r="D154" s="53" t="s">
        <v>1106</v>
      </c>
      <c r="E154" s="53" t="s">
        <v>569</v>
      </c>
      <c r="F154" s="53" t="s">
        <v>446</v>
      </c>
      <c r="G154" s="437">
        <v>0</v>
      </c>
      <c r="H154" s="437">
        <v>8043</v>
      </c>
      <c r="J154" s="437">
        <v>8043</v>
      </c>
      <c r="K154" s="475">
        <v>0</v>
      </c>
      <c r="L154" s="475">
        <f t="shared" si="16"/>
        <v>100</v>
      </c>
    </row>
    <row r="155" spans="1:12" ht="24">
      <c r="A155" s="62" t="s">
        <v>154</v>
      </c>
      <c r="B155" s="52" t="s">
        <v>684</v>
      </c>
      <c r="C155" s="53" t="s">
        <v>418</v>
      </c>
      <c r="D155" s="53" t="s">
        <v>1106</v>
      </c>
      <c r="E155" s="53" t="s">
        <v>570</v>
      </c>
      <c r="F155" s="53" t="s">
        <v>552</v>
      </c>
      <c r="G155" s="436">
        <f>G156</f>
        <v>0</v>
      </c>
      <c r="H155" s="436">
        <f>H156</f>
        <v>4956</v>
      </c>
      <c r="J155" s="436">
        <f>J156</f>
        <v>4956</v>
      </c>
      <c r="K155" s="475">
        <v>0</v>
      </c>
      <c r="L155" s="475">
        <f t="shared" si="16"/>
        <v>100</v>
      </c>
    </row>
    <row r="156" spans="1:12" ht="36">
      <c r="A156" s="62" t="s">
        <v>278</v>
      </c>
      <c r="B156" s="52" t="s">
        <v>684</v>
      </c>
      <c r="C156" s="53" t="s">
        <v>418</v>
      </c>
      <c r="D156" s="53" t="s">
        <v>1106</v>
      </c>
      <c r="E156" s="53" t="s">
        <v>570</v>
      </c>
      <c r="F156" s="53" t="s">
        <v>155</v>
      </c>
      <c r="G156" s="436">
        <f>G157+G158+G159</f>
        <v>0</v>
      </c>
      <c r="H156" s="436">
        <f>H157+H158+H159</f>
        <v>4956</v>
      </c>
      <c r="J156" s="436">
        <f>J157+J158+J159</f>
        <v>4956</v>
      </c>
      <c r="K156" s="475">
        <v>0</v>
      </c>
      <c r="L156" s="475">
        <f t="shared" si="16"/>
        <v>100</v>
      </c>
    </row>
    <row r="157" spans="1:12" ht="48">
      <c r="A157" s="57" t="s">
        <v>571</v>
      </c>
      <c r="B157" s="52" t="s">
        <v>684</v>
      </c>
      <c r="C157" s="53" t="s">
        <v>418</v>
      </c>
      <c r="D157" s="53" t="s">
        <v>1106</v>
      </c>
      <c r="E157" s="53" t="s">
        <v>570</v>
      </c>
      <c r="F157" s="53" t="s">
        <v>155</v>
      </c>
      <c r="G157" s="437">
        <v>0</v>
      </c>
      <c r="H157" s="437">
        <v>950</v>
      </c>
      <c r="J157" s="437">
        <v>950</v>
      </c>
      <c r="K157" s="475">
        <v>0</v>
      </c>
      <c r="L157" s="475">
        <f t="shared" si="16"/>
        <v>100</v>
      </c>
    </row>
    <row r="158" spans="1:12" ht="24">
      <c r="A158" s="57" t="s">
        <v>572</v>
      </c>
      <c r="B158" s="52" t="s">
        <v>684</v>
      </c>
      <c r="C158" s="53" t="s">
        <v>418</v>
      </c>
      <c r="D158" s="53" t="s">
        <v>1106</v>
      </c>
      <c r="E158" s="53" t="s">
        <v>570</v>
      </c>
      <c r="F158" s="53" t="s">
        <v>155</v>
      </c>
      <c r="G158" s="437">
        <v>0</v>
      </c>
      <c r="H158" s="437">
        <v>3286.1</v>
      </c>
      <c r="J158" s="437">
        <v>3286.1</v>
      </c>
      <c r="K158" s="475">
        <v>0</v>
      </c>
      <c r="L158" s="475">
        <f t="shared" si="16"/>
        <v>100</v>
      </c>
    </row>
    <row r="159" spans="1:12" ht="24">
      <c r="A159" s="57" t="s">
        <v>573</v>
      </c>
      <c r="B159" s="52" t="s">
        <v>684</v>
      </c>
      <c r="C159" s="53" t="s">
        <v>418</v>
      </c>
      <c r="D159" s="53" t="s">
        <v>1106</v>
      </c>
      <c r="E159" s="53" t="s">
        <v>570</v>
      </c>
      <c r="F159" s="53" t="s">
        <v>155</v>
      </c>
      <c r="G159" s="437">
        <v>0</v>
      </c>
      <c r="H159" s="437">
        <v>719.9</v>
      </c>
      <c r="J159" s="437">
        <v>719.9</v>
      </c>
      <c r="K159" s="475">
        <v>0</v>
      </c>
      <c r="L159" s="475">
        <f t="shared" si="16"/>
        <v>100</v>
      </c>
    </row>
    <row r="160" spans="1:12" ht="24">
      <c r="A160" s="62" t="s">
        <v>139</v>
      </c>
      <c r="B160" s="52" t="s">
        <v>684</v>
      </c>
      <c r="C160" s="53" t="s">
        <v>418</v>
      </c>
      <c r="D160" s="53" t="s">
        <v>1106</v>
      </c>
      <c r="E160" s="53" t="s">
        <v>570</v>
      </c>
      <c r="F160" s="53" t="s">
        <v>1454</v>
      </c>
      <c r="G160" s="436">
        <f>G161+G163</f>
        <v>0</v>
      </c>
      <c r="H160" s="436">
        <f>H161+H163</f>
        <v>20079.5</v>
      </c>
      <c r="J160" s="436">
        <f>J161+J163</f>
        <v>19945.8</v>
      </c>
      <c r="K160" s="475">
        <v>0</v>
      </c>
      <c r="L160" s="475">
        <f t="shared" si="16"/>
        <v>99.33414676660274</v>
      </c>
    </row>
    <row r="161" spans="1:12" ht="24">
      <c r="A161" s="57" t="s">
        <v>512</v>
      </c>
      <c r="B161" s="52" t="s">
        <v>684</v>
      </c>
      <c r="C161" s="53" t="s">
        <v>418</v>
      </c>
      <c r="D161" s="53" t="s">
        <v>1106</v>
      </c>
      <c r="E161" s="53" t="s">
        <v>570</v>
      </c>
      <c r="F161" s="53" t="s">
        <v>554</v>
      </c>
      <c r="G161" s="436">
        <f>G162</f>
        <v>0</v>
      </c>
      <c r="H161" s="436">
        <f>H162</f>
        <v>853.5</v>
      </c>
      <c r="J161" s="436">
        <f>J162</f>
        <v>830</v>
      </c>
      <c r="K161" s="475">
        <v>0</v>
      </c>
      <c r="L161" s="475">
        <f t="shared" si="16"/>
        <v>97.24663151728178</v>
      </c>
    </row>
    <row r="162" spans="1:12" ht="24">
      <c r="A162" s="57" t="s">
        <v>1236</v>
      </c>
      <c r="B162" s="52" t="s">
        <v>684</v>
      </c>
      <c r="C162" s="53" t="s">
        <v>418</v>
      </c>
      <c r="D162" s="53" t="s">
        <v>1106</v>
      </c>
      <c r="E162" s="53" t="s">
        <v>570</v>
      </c>
      <c r="F162" s="53" t="s">
        <v>554</v>
      </c>
      <c r="G162" s="437">
        <v>0</v>
      </c>
      <c r="H162" s="437">
        <v>853.5</v>
      </c>
      <c r="J162" s="437">
        <v>830</v>
      </c>
      <c r="K162" s="475">
        <v>0</v>
      </c>
      <c r="L162" s="475">
        <f t="shared" si="16"/>
        <v>97.24663151728178</v>
      </c>
    </row>
    <row r="163" spans="1:12" ht="24">
      <c r="A163" s="57" t="s">
        <v>267</v>
      </c>
      <c r="B163" s="52" t="s">
        <v>684</v>
      </c>
      <c r="C163" s="53" t="s">
        <v>418</v>
      </c>
      <c r="D163" s="53" t="s">
        <v>1106</v>
      </c>
      <c r="E163" s="53" t="s">
        <v>570</v>
      </c>
      <c r="F163" s="53" t="s">
        <v>446</v>
      </c>
      <c r="G163" s="436">
        <f>G164+G165+G166+G167+G168</f>
        <v>0</v>
      </c>
      <c r="H163" s="436">
        <f>H164+H165+H166+H167+H168</f>
        <v>19226</v>
      </c>
      <c r="J163" s="436">
        <f>J164+J165+J166+J167+J168</f>
        <v>19115.8</v>
      </c>
      <c r="K163" s="475">
        <v>0</v>
      </c>
      <c r="L163" s="475">
        <f t="shared" si="16"/>
        <v>99.42681785082699</v>
      </c>
    </row>
    <row r="164" spans="1:12" ht="36">
      <c r="A164" s="57" t="s">
        <v>574</v>
      </c>
      <c r="B164" s="52" t="s">
        <v>684</v>
      </c>
      <c r="C164" s="53" t="s">
        <v>418</v>
      </c>
      <c r="D164" s="53" t="s">
        <v>1106</v>
      </c>
      <c r="E164" s="53" t="s">
        <v>570</v>
      </c>
      <c r="F164" s="53" t="s">
        <v>446</v>
      </c>
      <c r="G164" s="437">
        <v>0</v>
      </c>
      <c r="H164" s="437">
        <f>9496+500+3365</f>
        <v>13361</v>
      </c>
      <c r="J164" s="437">
        <v>13335.9</v>
      </c>
      <c r="K164" s="475">
        <v>0</v>
      </c>
      <c r="L164" s="475">
        <f t="shared" si="16"/>
        <v>99.81213980989446</v>
      </c>
    </row>
    <row r="165" spans="1:12" ht="51.75" customHeight="1">
      <c r="A165" s="57" t="s">
        <v>1238</v>
      </c>
      <c r="B165" s="52" t="s">
        <v>684</v>
      </c>
      <c r="C165" s="53" t="s">
        <v>418</v>
      </c>
      <c r="D165" s="53" t="s">
        <v>1106</v>
      </c>
      <c r="E165" s="53" t="s">
        <v>570</v>
      </c>
      <c r="F165" s="53" t="s">
        <v>446</v>
      </c>
      <c r="G165" s="437">
        <v>0</v>
      </c>
      <c r="H165" s="437">
        <v>403</v>
      </c>
      <c r="J165" s="437">
        <v>403</v>
      </c>
      <c r="K165" s="475">
        <v>0</v>
      </c>
      <c r="L165" s="475">
        <f t="shared" si="16"/>
        <v>100</v>
      </c>
    </row>
    <row r="166" spans="1:12" ht="28.5" customHeight="1">
      <c r="A166" s="57" t="s">
        <v>1240</v>
      </c>
      <c r="B166" s="52" t="s">
        <v>684</v>
      </c>
      <c r="C166" s="53" t="s">
        <v>418</v>
      </c>
      <c r="D166" s="53" t="s">
        <v>1106</v>
      </c>
      <c r="E166" s="53" t="s">
        <v>570</v>
      </c>
      <c r="F166" s="53" t="s">
        <v>446</v>
      </c>
      <c r="G166" s="437">
        <v>0</v>
      </c>
      <c r="H166" s="437">
        <v>3050</v>
      </c>
      <c r="J166" s="437">
        <v>2969.1</v>
      </c>
      <c r="K166" s="475">
        <v>0</v>
      </c>
      <c r="L166" s="475">
        <f t="shared" si="16"/>
        <v>97.34754098360655</v>
      </c>
    </row>
    <row r="167" spans="1:12" ht="22.5" customHeight="1">
      <c r="A167" s="57" t="s">
        <v>575</v>
      </c>
      <c r="B167" s="52" t="s">
        <v>684</v>
      </c>
      <c r="C167" s="53" t="s">
        <v>418</v>
      </c>
      <c r="D167" s="53" t="s">
        <v>1106</v>
      </c>
      <c r="E167" s="53" t="s">
        <v>570</v>
      </c>
      <c r="F167" s="53" t="s">
        <v>446</v>
      </c>
      <c r="G167" s="437">
        <v>0</v>
      </c>
      <c r="H167" s="437">
        <v>162</v>
      </c>
      <c r="J167" s="437">
        <v>162</v>
      </c>
      <c r="K167" s="475">
        <v>0</v>
      </c>
      <c r="L167" s="475">
        <f t="shared" si="16"/>
        <v>100</v>
      </c>
    </row>
    <row r="168" spans="1:12" ht="22.5" customHeight="1">
      <c r="A168" s="57" t="s">
        <v>576</v>
      </c>
      <c r="B168" s="52" t="s">
        <v>684</v>
      </c>
      <c r="C168" s="53" t="s">
        <v>418</v>
      </c>
      <c r="D168" s="53" t="s">
        <v>1106</v>
      </c>
      <c r="E168" s="53" t="s">
        <v>570</v>
      </c>
      <c r="F168" s="53" t="s">
        <v>446</v>
      </c>
      <c r="G168" s="437">
        <v>0</v>
      </c>
      <c r="H168" s="437">
        <v>2250</v>
      </c>
      <c r="J168" s="437">
        <v>2245.8</v>
      </c>
      <c r="K168" s="475">
        <v>0</v>
      </c>
      <c r="L168" s="475">
        <f t="shared" si="16"/>
        <v>99.81333333333335</v>
      </c>
    </row>
    <row r="169" spans="1:12" ht="22.5" customHeight="1">
      <c r="A169" s="62" t="s">
        <v>139</v>
      </c>
      <c r="B169" s="52" t="s">
        <v>684</v>
      </c>
      <c r="C169" s="53" t="s">
        <v>418</v>
      </c>
      <c r="D169" s="53" t="s">
        <v>1106</v>
      </c>
      <c r="E169" s="53" t="s">
        <v>577</v>
      </c>
      <c r="F169" s="53" t="s">
        <v>1454</v>
      </c>
      <c r="G169" s="436">
        <f>G170</f>
        <v>0</v>
      </c>
      <c r="H169" s="436">
        <f>H170</f>
        <v>2666</v>
      </c>
      <c r="J169" s="436">
        <f>J170</f>
        <v>2666</v>
      </c>
      <c r="K169" s="475">
        <v>0</v>
      </c>
      <c r="L169" s="475">
        <f t="shared" si="16"/>
        <v>100</v>
      </c>
    </row>
    <row r="170" spans="1:12" ht="22.5" customHeight="1">
      <c r="A170" s="57" t="s">
        <v>512</v>
      </c>
      <c r="B170" s="52" t="s">
        <v>684</v>
      </c>
      <c r="C170" s="53" t="s">
        <v>418</v>
      </c>
      <c r="D170" s="53" t="s">
        <v>1106</v>
      </c>
      <c r="E170" s="53" t="s">
        <v>577</v>
      </c>
      <c r="F170" s="53" t="s">
        <v>554</v>
      </c>
      <c r="G170" s="436">
        <f>G171+G172</f>
        <v>0</v>
      </c>
      <c r="H170" s="436">
        <f>H171+H172</f>
        <v>2666</v>
      </c>
      <c r="J170" s="436">
        <f>J171+J172</f>
        <v>2666</v>
      </c>
      <c r="K170" s="475">
        <v>0</v>
      </c>
      <c r="L170" s="475">
        <f t="shared" si="16"/>
        <v>100</v>
      </c>
    </row>
    <row r="171" spans="1:12" ht="22.5" customHeight="1">
      <c r="A171" s="57" t="s">
        <v>578</v>
      </c>
      <c r="B171" s="52" t="s">
        <v>684</v>
      </c>
      <c r="C171" s="53" t="s">
        <v>418</v>
      </c>
      <c r="D171" s="53" t="s">
        <v>1106</v>
      </c>
      <c r="E171" s="53" t="s">
        <v>577</v>
      </c>
      <c r="F171" s="53" t="s">
        <v>554</v>
      </c>
      <c r="G171" s="437">
        <v>0</v>
      </c>
      <c r="H171" s="437">
        <v>310</v>
      </c>
      <c r="J171" s="437">
        <v>310</v>
      </c>
      <c r="K171" s="475">
        <v>0</v>
      </c>
      <c r="L171" s="475">
        <f t="shared" si="16"/>
        <v>100</v>
      </c>
    </row>
    <row r="172" spans="1:12" ht="22.5" customHeight="1">
      <c r="A172" s="57" t="s">
        <v>579</v>
      </c>
      <c r="B172" s="52" t="s">
        <v>684</v>
      </c>
      <c r="C172" s="53" t="s">
        <v>418</v>
      </c>
      <c r="D172" s="53" t="s">
        <v>1106</v>
      </c>
      <c r="E172" s="53" t="s">
        <v>577</v>
      </c>
      <c r="F172" s="53" t="s">
        <v>554</v>
      </c>
      <c r="G172" s="437">
        <v>0</v>
      </c>
      <c r="H172" s="437">
        <v>2356</v>
      </c>
      <c r="J172" s="437">
        <v>2356</v>
      </c>
      <c r="K172" s="475">
        <v>0</v>
      </c>
      <c r="L172" s="475">
        <f t="shared" si="16"/>
        <v>100</v>
      </c>
    </row>
    <row r="173" spans="1:12" ht="46.5" customHeight="1">
      <c r="A173" s="57" t="s">
        <v>1054</v>
      </c>
      <c r="B173" s="52" t="s">
        <v>684</v>
      </c>
      <c r="C173" s="53" t="s">
        <v>418</v>
      </c>
      <c r="D173" s="53" t="s">
        <v>1106</v>
      </c>
      <c r="E173" s="53" t="s">
        <v>1055</v>
      </c>
      <c r="F173" s="53" t="s">
        <v>920</v>
      </c>
      <c r="G173" s="436">
        <f>G174</f>
        <v>0</v>
      </c>
      <c r="H173" s="436">
        <f>H174</f>
        <v>975</v>
      </c>
      <c r="J173" s="436">
        <f>J174</f>
        <v>875</v>
      </c>
      <c r="K173" s="475">
        <v>0</v>
      </c>
      <c r="L173" s="475">
        <f t="shared" si="16"/>
        <v>89.74358974358975</v>
      </c>
    </row>
    <row r="174" spans="1:12" ht="29.25" customHeight="1">
      <c r="A174" s="62" t="s">
        <v>139</v>
      </c>
      <c r="B174" s="52" t="s">
        <v>684</v>
      </c>
      <c r="C174" s="53" t="s">
        <v>418</v>
      </c>
      <c r="D174" s="53" t="s">
        <v>1106</v>
      </c>
      <c r="E174" s="53" t="s">
        <v>1055</v>
      </c>
      <c r="F174" s="53" t="s">
        <v>1454</v>
      </c>
      <c r="G174" s="436">
        <f>G175+G176</f>
        <v>0</v>
      </c>
      <c r="H174" s="436">
        <f>H175+H176</f>
        <v>975</v>
      </c>
      <c r="J174" s="436">
        <f>J175+J176</f>
        <v>875</v>
      </c>
      <c r="K174" s="475">
        <v>0</v>
      </c>
      <c r="L174" s="475">
        <f t="shared" si="16"/>
        <v>89.74358974358975</v>
      </c>
    </row>
    <row r="175" spans="1:12" ht="21" customHeight="1">
      <c r="A175" s="57" t="s">
        <v>553</v>
      </c>
      <c r="B175" s="52" t="s">
        <v>684</v>
      </c>
      <c r="C175" s="53" t="s">
        <v>418</v>
      </c>
      <c r="D175" s="53" t="s">
        <v>1106</v>
      </c>
      <c r="E175" s="53" t="s">
        <v>1055</v>
      </c>
      <c r="F175" s="53" t="s">
        <v>554</v>
      </c>
      <c r="G175" s="437">
        <v>0</v>
      </c>
      <c r="H175" s="437">
        <f>100+75</f>
        <v>175</v>
      </c>
      <c r="J175" s="437">
        <v>75</v>
      </c>
      <c r="K175" s="475">
        <v>0</v>
      </c>
      <c r="L175" s="475">
        <f t="shared" si="16"/>
        <v>42.857142857142854</v>
      </c>
    </row>
    <row r="176" spans="1:12" ht="24" customHeight="1">
      <c r="A176" s="57" t="s">
        <v>445</v>
      </c>
      <c r="B176" s="52" t="s">
        <v>684</v>
      </c>
      <c r="C176" s="53" t="s">
        <v>418</v>
      </c>
      <c r="D176" s="53" t="s">
        <v>1106</v>
      </c>
      <c r="E176" s="53" t="s">
        <v>1055</v>
      </c>
      <c r="F176" s="53" t="s">
        <v>446</v>
      </c>
      <c r="G176" s="437">
        <v>0</v>
      </c>
      <c r="H176" s="437">
        <v>800</v>
      </c>
      <c r="J176" s="437">
        <v>800</v>
      </c>
      <c r="K176" s="475">
        <v>0</v>
      </c>
      <c r="L176" s="475">
        <f t="shared" si="16"/>
        <v>100</v>
      </c>
    </row>
    <row r="177" spans="1:12" ht="24" customHeight="1">
      <c r="A177" s="61" t="s">
        <v>1088</v>
      </c>
      <c r="B177" s="52" t="s">
        <v>684</v>
      </c>
      <c r="C177" s="55" t="s">
        <v>418</v>
      </c>
      <c r="D177" s="55" t="s">
        <v>792</v>
      </c>
      <c r="E177" s="53"/>
      <c r="F177" s="53"/>
      <c r="G177" s="436">
        <f>G178</f>
        <v>300</v>
      </c>
      <c r="H177" s="436">
        <f>H178</f>
        <v>300</v>
      </c>
      <c r="J177" s="436">
        <f>J178</f>
        <v>256.5</v>
      </c>
      <c r="K177" s="460">
        <f>J177/G177*100</f>
        <v>85.5</v>
      </c>
      <c r="L177" s="460">
        <f t="shared" si="16"/>
        <v>85.5</v>
      </c>
    </row>
    <row r="178" spans="1:12" ht="24" customHeight="1">
      <c r="A178" s="56" t="s">
        <v>241</v>
      </c>
      <c r="B178" s="52" t="s">
        <v>684</v>
      </c>
      <c r="C178" s="55" t="s">
        <v>418</v>
      </c>
      <c r="D178" s="55" t="s">
        <v>792</v>
      </c>
      <c r="E178" s="53" t="s">
        <v>1228</v>
      </c>
      <c r="F178" s="53"/>
      <c r="G178" s="436">
        <f>G179</f>
        <v>300</v>
      </c>
      <c r="H178" s="436">
        <f>H179</f>
        <v>300</v>
      </c>
      <c r="J178" s="436">
        <f>J179</f>
        <v>256.5</v>
      </c>
      <c r="K178" s="460">
        <f>J178/G178*100</f>
        <v>85.5</v>
      </c>
      <c r="L178" s="460">
        <f t="shared" si="16"/>
        <v>85.5</v>
      </c>
    </row>
    <row r="179" spans="1:12" ht="24">
      <c r="A179" s="57" t="s">
        <v>580</v>
      </c>
      <c r="B179" s="52" t="s">
        <v>684</v>
      </c>
      <c r="C179" s="55" t="s">
        <v>418</v>
      </c>
      <c r="D179" s="55" t="s">
        <v>792</v>
      </c>
      <c r="E179" s="53" t="s">
        <v>581</v>
      </c>
      <c r="F179" s="53"/>
      <c r="G179" s="436">
        <f>G180+G182</f>
        <v>300</v>
      </c>
      <c r="H179" s="436">
        <f>H180+H182</f>
        <v>300</v>
      </c>
      <c r="J179" s="436">
        <f>J180+J182</f>
        <v>256.5</v>
      </c>
      <c r="K179" s="475">
        <f>J179/G179*100</f>
        <v>85.5</v>
      </c>
      <c r="L179" s="475">
        <f t="shared" si="16"/>
        <v>85.5</v>
      </c>
    </row>
    <row r="180" spans="1:12" ht="48">
      <c r="A180" s="206" t="s">
        <v>63</v>
      </c>
      <c r="B180" s="52" t="s">
        <v>684</v>
      </c>
      <c r="C180" s="55" t="s">
        <v>418</v>
      </c>
      <c r="D180" s="55" t="s">
        <v>792</v>
      </c>
      <c r="E180" s="53" t="s">
        <v>582</v>
      </c>
      <c r="F180" s="53" t="s">
        <v>64</v>
      </c>
      <c r="G180" s="436">
        <f>G181</f>
        <v>0</v>
      </c>
      <c r="H180" s="436">
        <f>H181</f>
        <v>5</v>
      </c>
      <c r="J180" s="436">
        <f>J181</f>
        <v>1.3</v>
      </c>
      <c r="K180" s="475">
        <v>0</v>
      </c>
      <c r="L180" s="475">
        <f t="shared" si="16"/>
        <v>26</v>
      </c>
    </row>
    <row r="181" spans="1:12" ht="24">
      <c r="A181" s="57" t="s">
        <v>65</v>
      </c>
      <c r="B181" s="52" t="s">
        <v>684</v>
      </c>
      <c r="C181" s="55" t="s">
        <v>418</v>
      </c>
      <c r="D181" s="55" t="s">
        <v>792</v>
      </c>
      <c r="E181" s="53" t="s">
        <v>582</v>
      </c>
      <c r="F181" s="53" t="s">
        <v>527</v>
      </c>
      <c r="G181" s="437">
        <v>0</v>
      </c>
      <c r="H181" s="437">
        <v>5</v>
      </c>
      <c r="J181" s="437">
        <v>1.3</v>
      </c>
      <c r="K181" s="475">
        <v>0</v>
      </c>
      <c r="L181" s="475">
        <f t="shared" si="16"/>
        <v>26</v>
      </c>
    </row>
    <row r="182" spans="1:12" ht="24">
      <c r="A182" s="57" t="s">
        <v>1006</v>
      </c>
      <c r="B182" s="52" t="s">
        <v>684</v>
      </c>
      <c r="C182" s="55" t="s">
        <v>418</v>
      </c>
      <c r="D182" s="55" t="s">
        <v>792</v>
      </c>
      <c r="E182" s="53" t="s">
        <v>582</v>
      </c>
      <c r="F182" s="53" t="s">
        <v>528</v>
      </c>
      <c r="G182" s="436">
        <f>G183</f>
        <v>300</v>
      </c>
      <c r="H182" s="436">
        <f>H183</f>
        <v>295</v>
      </c>
      <c r="J182" s="436">
        <f>J183</f>
        <v>255.2</v>
      </c>
      <c r="K182" s="475">
        <f>J182/G182*100</f>
        <v>85.06666666666666</v>
      </c>
      <c r="L182" s="475">
        <f t="shared" si="16"/>
        <v>86.50847457627118</v>
      </c>
    </row>
    <row r="183" spans="1:12" ht="24">
      <c r="A183" s="62" t="s">
        <v>822</v>
      </c>
      <c r="B183" s="52" t="s">
        <v>684</v>
      </c>
      <c r="C183" s="55" t="s">
        <v>418</v>
      </c>
      <c r="D183" s="55" t="s">
        <v>792</v>
      </c>
      <c r="E183" s="53" t="s">
        <v>582</v>
      </c>
      <c r="F183" s="53" t="s">
        <v>1486</v>
      </c>
      <c r="G183" s="437">
        <v>300</v>
      </c>
      <c r="H183" s="437">
        <f>300-5</f>
        <v>295</v>
      </c>
      <c r="J183" s="437">
        <v>255.2</v>
      </c>
      <c r="K183" s="475">
        <f>J183/G183*100</f>
        <v>85.06666666666666</v>
      </c>
      <c r="L183" s="475">
        <f t="shared" si="16"/>
        <v>86.50847457627118</v>
      </c>
    </row>
    <row r="184" spans="1:12" ht="15.75">
      <c r="A184" s="61" t="s">
        <v>1089</v>
      </c>
      <c r="B184" s="52" t="s">
        <v>684</v>
      </c>
      <c r="C184" s="55" t="s">
        <v>418</v>
      </c>
      <c r="D184" s="55" t="s">
        <v>418</v>
      </c>
      <c r="E184" s="55"/>
      <c r="F184" s="55"/>
      <c r="G184" s="436">
        <f>G185</f>
        <v>18500</v>
      </c>
      <c r="H184" s="436">
        <f>H185</f>
        <v>24950.6</v>
      </c>
      <c r="J184" s="436">
        <f>J185</f>
        <v>24950.6</v>
      </c>
      <c r="K184" s="460">
        <f>J184/G184*100</f>
        <v>134.8681081081081</v>
      </c>
      <c r="L184" s="460">
        <f aca="true" t="shared" si="17" ref="L184:L198">J184/H184*100</f>
        <v>100</v>
      </c>
    </row>
    <row r="185" spans="1:12" ht="48">
      <c r="A185" s="64" t="s">
        <v>287</v>
      </c>
      <c r="B185" s="52" t="s">
        <v>684</v>
      </c>
      <c r="C185" s="55" t="s">
        <v>418</v>
      </c>
      <c r="D185" s="55" t="s">
        <v>418</v>
      </c>
      <c r="E185" s="55" t="s">
        <v>288</v>
      </c>
      <c r="F185" s="55"/>
      <c r="G185" s="436">
        <f>G186+G191+G192+G196</f>
        <v>18500</v>
      </c>
      <c r="H185" s="436">
        <f>H186+H191+H192+H196</f>
        <v>24950.6</v>
      </c>
      <c r="I185" s="436">
        <f>I186+I191+I192+I196</f>
        <v>0</v>
      </c>
      <c r="J185" s="436">
        <f>J186+J191+J192+J196</f>
        <v>24950.6</v>
      </c>
      <c r="K185" s="460">
        <f>J185/G185*100</f>
        <v>134.8681081081081</v>
      </c>
      <c r="L185" s="460">
        <f t="shared" si="17"/>
        <v>100</v>
      </c>
    </row>
    <row r="186" spans="1:12" ht="60">
      <c r="A186" s="64" t="s">
        <v>583</v>
      </c>
      <c r="B186" s="52" t="s">
        <v>684</v>
      </c>
      <c r="C186" s="55" t="s">
        <v>418</v>
      </c>
      <c r="D186" s="55" t="s">
        <v>418</v>
      </c>
      <c r="E186" s="55" t="s">
        <v>584</v>
      </c>
      <c r="F186" s="55" t="s">
        <v>920</v>
      </c>
      <c r="G186" s="436">
        <f>G187</f>
        <v>0</v>
      </c>
      <c r="H186" s="436">
        <f>H187</f>
        <v>7785</v>
      </c>
      <c r="J186" s="436">
        <f>J187</f>
        <v>7785</v>
      </c>
      <c r="K186" s="475">
        <v>0</v>
      </c>
      <c r="L186" s="475">
        <f t="shared" si="17"/>
        <v>100</v>
      </c>
    </row>
    <row r="187" spans="1:12" ht="24">
      <c r="A187" s="62" t="s">
        <v>139</v>
      </c>
      <c r="B187" s="52" t="s">
        <v>684</v>
      </c>
      <c r="C187" s="55" t="s">
        <v>418</v>
      </c>
      <c r="D187" s="55" t="s">
        <v>418</v>
      </c>
      <c r="E187" s="55" t="s">
        <v>584</v>
      </c>
      <c r="F187" s="55" t="s">
        <v>1454</v>
      </c>
      <c r="G187" s="436">
        <f>G188+G189</f>
        <v>0</v>
      </c>
      <c r="H187" s="436">
        <f>H188+H189</f>
        <v>7785</v>
      </c>
      <c r="J187" s="436">
        <f>J188+J189</f>
        <v>7785</v>
      </c>
      <c r="K187" s="475">
        <v>0</v>
      </c>
      <c r="L187" s="475">
        <f t="shared" si="17"/>
        <v>100</v>
      </c>
    </row>
    <row r="188" spans="1:12" ht="24">
      <c r="A188" s="57" t="s">
        <v>553</v>
      </c>
      <c r="B188" s="52" t="s">
        <v>684</v>
      </c>
      <c r="C188" s="55" t="s">
        <v>418</v>
      </c>
      <c r="D188" s="55" t="s">
        <v>418</v>
      </c>
      <c r="E188" s="55" t="s">
        <v>584</v>
      </c>
      <c r="F188" s="55" t="s">
        <v>554</v>
      </c>
      <c r="G188" s="437">
        <v>0</v>
      </c>
      <c r="H188" s="437">
        <f>2665-1049.9-0.1</f>
        <v>1615</v>
      </c>
      <c r="J188" s="437">
        <f>2665-1049.9-0.1</f>
        <v>1615</v>
      </c>
      <c r="K188" s="475">
        <v>0</v>
      </c>
      <c r="L188" s="475">
        <f t="shared" si="17"/>
        <v>100</v>
      </c>
    </row>
    <row r="189" spans="1:12" ht="24">
      <c r="A189" s="57" t="s">
        <v>445</v>
      </c>
      <c r="B189" s="52" t="s">
        <v>684</v>
      </c>
      <c r="C189" s="55" t="s">
        <v>418</v>
      </c>
      <c r="D189" s="55" t="s">
        <v>418</v>
      </c>
      <c r="E189" s="55" t="s">
        <v>584</v>
      </c>
      <c r="F189" s="55" t="s">
        <v>446</v>
      </c>
      <c r="G189" s="437">
        <v>0</v>
      </c>
      <c r="H189" s="437">
        <f>5120+1049.9+0.1</f>
        <v>6170</v>
      </c>
      <c r="J189" s="437">
        <f>5120+1049.9+0.1</f>
        <v>6170</v>
      </c>
      <c r="K189" s="475">
        <v>0</v>
      </c>
      <c r="L189" s="475">
        <f t="shared" si="17"/>
        <v>100</v>
      </c>
    </row>
    <row r="190" spans="1:12" ht="24">
      <c r="A190" s="206" t="s">
        <v>767</v>
      </c>
      <c r="B190" s="52" t="s">
        <v>684</v>
      </c>
      <c r="C190" s="55" t="s">
        <v>418</v>
      </c>
      <c r="D190" s="55" t="s">
        <v>418</v>
      </c>
      <c r="E190" s="55" t="s">
        <v>586</v>
      </c>
      <c r="F190" s="55" t="s">
        <v>768</v>
      </c>
      <c r="G190" s="436">
        <f>G191</f>
        <v>0</v>
      </c>
      <c r="H190" s="436">
        <f>H191</f>
        <v>1314.5</v>
      </c>
      <c r="J190" s="436">
        <f>J191</f>
        <v>1314.5</v>
      </c>
      <c r="K190" s="475">
        <v>0</v>
      </c>
      <c r="L190" s="475">
        <f t="shared" si="17"/>
        <v>100</v>
      </c>
    </row>
    <row r="191" spans="1:12" ht="26.25" customHeight="1">
      <c r="A191" s="57" t="s">
        <v>1073</v>
      </c>
      <c r="B191" s="52" t="s">
        <v>684</v>
      </c>
      <c r="C191" s="55" t="s">
        <v>418</v>
      </c>
      <c r="D191" s="55" t="s">
        <v>418</v>
      </c>
      <c r="E191" s="55" t="s">
        <v>586</v>
      </c>
      <c r="F191" s="55" t="s">
        <v>1074</v>
      </c>
      <c r="G191" s="437">
        <v>0</v>
      </c>
      <c r="H191" s="437">
        <f>2895-507-800-273.5</f>
        <v>1314.5</v>
      </c>
      <c r="J191" s="437">
        <f>2895-507-800-273.5</f>
        <v>1314.5</v>
      </c>
      <c r="K191" s="475">
        <v>0</v>
      </c>
      <c r="L191" s="475">
        <f t="shared" si="17"/>
        <v>100</v>
      </c>
    </row>
    <row r="192" spans="1:12" ht="26.25" customHeight="1">
      <c r="A192" s="62" t="s">
        <v>139</v>
      </c>
      <c r="B192" s="52" t="s">
        <v>684</v>
      </c>
      <c r="C192" s="55" t="s">
        <v>418</v>
      </c>
      <c r="D192" s="55" t="s">
        <v>418</v>
      </c>
      <c r="E192" s="55" t="s">
        <v>586</v>
      </c>
      <c r="F192" s="55" t="s">
        <v>1454</v>
      </c>
      <c r="G192" s="436">
        <f aca="true" t="shared" si="18" ref="G192:H194">G193</f>
        <v>18500</v>
      </c>
      <c r="H192" s="436">
        <f t="shared" si="18"/>
        <v>5799.6</v>
      </c>
      <c r="J192" s="436">
        <f>J193</f>
        <v>5799.6</v>
      </c>
      <c r="K192" s="475">
        <f>J192/G192*100</f>
        <v>31.349189189189193</v>
      </c>
      <c r="L192" s="475">
        <f t="shared" si="17"/>
        <v>100</v>
      </c>
    </row>
    <row r="193" spans="1:12" ht="17.25" customHeight="1">
      <c r="A193" s="57" t="s">
        <v>141</v>
      </c>
      <c r="B193" s="52" t="s">
        <v>684</v>
      </c>
      <c r="C193" s="55" t="s">
        <v>418</v>
      </c>
      <c r="D193" s="55" t="s">
        <v>418</v>
      </c>
      <c r="E193" s="55" t="s">
        <v>586</v>
      </c>
      <c r="F193" s="55" t="s">
        <v>554</v>
      </c>
      <c r="G193" s="436">
        <f t="shared" si="18"/>
        <v>18500</v>
      </c>
      <c r="H193" s="436">
        <f t="shared" si="18"/>
        <v>5799.6</v>
      </c>
      <c r="J193" s="436">
        <f>J194</f>
        <v>5799.6</v>
      </c>
      <c r="K193" s="475">
        <f>J193/G193*100</f>
        <v>31.349189189189193</v>
      </c>
      <c r="L193" s="475">
        <f t="shared" si="17"/>
        <v>100</v>
      </c>
    </row>
    <row r="194" spans="1:12" ht="19.5" customHeight="1">
      <c r="A194" s="57" t="s">
        <v>1294</v>
      </c>
      <c r="B194" s="52" t="s">
        <v>684</v>
      </c>
      <c r="C194" s="55" t="s">
        <v>418</v>
      </c>
      <c r="D194" s="55" t="s">
        <v>418</v>
      </c>
      <c r="E194" s="55" t="s">
        <v>586</v>
      </c>
      <c r="F194" s="55" t="s">
        <v>554</v>
      </c>
      <c r="G194" s="436">
        <f t="shared" si="18"/>
        <v>18500</v>
      </c>
      <c r="H194" s="436">
        <f t="shared" si="18"/>
        <v>5799.6</v>
      </c>
      <c r="J194" s="436">
        <f>J195</f>
        <v>5799.6</v>
      </c>
      <c r="K194" s="475">
        <f>J194/G194*100</f>
        <v>31.349189189189193</v>
      </c>
      <c r="L194" s="475">
        <f t="shared" si="17"/>
        <v>100</v>
      </c>
    </row>
    <row r="195" spans="1:12" ht="24" customHeight="1">
      <c r="A195" s="57" t="s">
        <v>536</v>
      </c>
      <c r="B195" s="52" t="s">
        <v>684</v>
      </c>
      <c r="C195" s="55" t="s">
        <v>418</v>
      </c>
      <c r="D195" s="55" t="s">
        <v>418</v>
      </c>
      <c r="E195" s="55" t="s">
        <v>586</v>
      </c>
      <c r="F195" s="55" t="s">
        <v>554</v>
      </c>
      <c r="G195" s="437">
        <v>18500</v>
      </c>
      <c r="H195" s="437">
        <f>18500-200.1-534.4-400-120.5-12595+2200-383-667.4</f>
        <v>5799.6</v>
      </c>
      <c r="J195" s="437">
        <f>18500-200.1-534.4-400-120.5-12595+2200-383-667.4</f>
        <v>5799.6</v>
      </c>
      <c r="K195" s="475">
        <f>J195/G195*100</f>
        <v>31.349189189189193</v>
      </c>
      <c r="L195" s="475">
        <f t="shared" si="17"/>
        <v>100</v>
      </c>
    </row>
    <row r="196" spans="1:12" ht="23.25" customHeight="1">
      <c r="A196" s="57" t="s">
        <v>1237</v>
      </c>
      <c r="B196" s="52" t="s">
        <v>684</v>
      </c>
      <c r="C196" s="55" t="s">
        <v>418</v>
      </c>
      <c r="D196" s="55" t="s">
        <v>418</v>
      </c>
      <c r="E196" s="55" t="s">
        <v>586</v>
      </c>
      <c r="F196" s="55" t="s">
        <v>446</v>
      </c>
      <c r="G196" s="436">
        <f>G197</f>
        <v>0</v>
      </c>
      <c r="H196" s="436">
        <f>H197</f>
        <v>10051.5</v>
      </c>
      <c r="J196" s="436">
        <f>J197</f>
        <v>10051.5</v>
      </c>
      <c r="K196" s="475">
        <v>0</v>
      </c>
      <c r="L196" s="475">
        <f t="shared" si="17"/>
        <v>100</v>
      </c>
    </row>
    <row r="197" spans="1:12" ht="19.5" customHeight="1">
      <c r="A197" s="57" t="s">
        <v>585</v>
      </c>
      <c r="B197" s="52" t="s">
        <v>684</v>
      </c>
      <c r="C197" s="55" t="s">
        <v>418</v>
      </c>
      <c r="D197" s="55" t="s">
        <v>418</v>
      </c>
      <c r="E197" s="55" t="s">
        <v>586</v>
      </c>
      <c r="F197" s="55" t="s">
        <v>446</v>
      </c>
      <c r="G197" s="436">
        <f>G198</f>
        <v>0</v>
      </c>
      <c r="H197" s="436">
        <f>H198</f>
        <v>10051.5</v>
      </c>
      <c r="J197" s="436">
        <f>J198</f>
        <v>10051.5</v>
      </c>
      <c r="K197" s="475">
        <v>0</v>
      </c>
      <c r="L197" s="475">
        <f t="shared" si="17"/>
        <v>100</v>
      </c>
    </row>
    <row r="198" spans="1:12" ht="24">
      <c r="A198" s="57" t="s">
        <v>588</v>
      </c>
      <c r="B198" s="52" t="s">
        <v>684</v>
      </c>
      <c r="C198" s="55" t="s">
        <v>418</v>
      </c>
      <c r="D198" s="55" t="s">
        <v>418</v>
      </c>
      <c r="E198" s="55" t="s">
        <v>586</v>
      </c>
      <c r="F198" s="55" t="s">
        <v>446</v>
      </c>
      <c r="G198" s="437">
        <v>0</v>
      </c>
      <c r="H198" s="437">
        <f>9630-2200-79.4+960+667.4+800+273.5</f>
        <v>10051.5</v>
      </c>
      <c r="J198" s="437">
        <f>9630-2200-79.4+960+667.4+800+273.5</f>
        <v>10051.5</v>
      </c>
      <c r="K198" s="475">
        <v>0</v>
      </c>
      <c r="L198" s="475">
        <f t="shared" si="17"/>
        <v>100</v>
      </c>
    </row>
    <row r="199" spans="1:12" ht="15.75">
      <c r="A199" s="65" t="s">
        <v>407</v>
      </c>
      <c r="B199" s="52" t="s">
        <v>684</v>
      </c>
      <c r="C199" s="55" t="s">
        <v>418</v>
      </c>
      <c r="D199" s="55" t="s">
        <v>1291</v>
      </c>
      <c r="E199" s="55"/>
      <c r="F199" s="55"/>
      <c r="G199" s="436">
        <f>G200</f>
        <v>132189</v>
      </c>
      <c r="H199" s="436">
        <f>H200</f>
        <v>116784.7</v>
      </c>
      <c r="J199" s="436">
        <f>J200</f>
        <v>110583.1</v>
      </c>
      <c r="K199" s="460">
        <f aca="true" t="shared" si="19" ref="K199:K219">J199/G199*100</f>
        <v>83.65529658292294</v>
      </c>
      <c r="L199" s="460">
        <f aca="true" t="shared" si="20" ref="L199:L210">J199/H199*100</f>
        <v>94.68971534798652</v>
      </c>
    </row>
    <row r="200" spans="1:12" ht="24">
      <c r="A200" s="56" t="s">
        <v>241</v>
      </c>
      <c r="B200" s="52" t="s">
        <v>684</v>
      </c>
      <c r="C200" s="55" t="s">
        <v>418</v>
      </c>
      <c r="D200" s="55" t="s">
        <v>1291</v>
      </c>
      <c r="E200" s="55" t="s">
        <v>1228</v>
      </c>
      <c r="F200" s="55"/>
      <c r="G200" s="436">
        <f>G201+G210</f>
        <v>132189</v>
      </c>
      <c r="H200" s="436">
        <f>H201+H210</f>
        <v>116784.7</v>
      </c>
      <c r="J200" s="436">
        <f>J201+J210</f>
        <v>110583.1</v>
      </c>
      <c r="K200" s="460">
        <f t="shared" si="19"/>
        <v>83.65529658292294</v>
      </c>
      <c r="L200" s="460">
        <f t="shared" si="20"/>
        <v>94.68971534798652</v>
      </c>
    </row>
    <row r="201" spans="1:12" ht="24">
      <c r="A201" s="57" t="s">
        <v>580</v>
      </c>
      <c r="B201" s="52" t="s">
        <v>684</v>
      </c>
      <c r="C201" s="55" t="s">
        <v>418</v>
      </c>
      <c r="D201" s="55" t="s">
        <v>1291</v>
      </c>
      <c r="E201" s="55" t="s">
        <v>581</v>
      </c>
      <c r="F201" s="55"/>
      <c r="G201" s="436">
        <f>G202+G221</f>
        <v>99678</v>
      </c>
      <c r="H201" s="436">
        <f>H202+H221</f>
        <v>102938.7</v>
      </c>
      <c r="J201" s="436">
        <f>J202+J221</f>
        <v>99292</v>
      </c>
      <c r="K201" s="475">
        <f t="shared" si="19"/>
        <v>99.61275306486887</v>
      </c>
      <c r="L201" s="475">
        <f t="shared" si="20"/>
        <v>96.45740620388639</v>
      </c>
    </row>
    <row r="202" spans="1:12" ht="36">
      <c r="A202" s="62" t="s">
        <v>1107</v>
      </c>
      <c r="B202" s="52" t="s">
        <v>684</v>
      </c>
      <c r="C202" s="55" t="s">
        <v>418</v>
      </c>
      <c r="D202" s="55" t="s">
        <v>1291</v>
      </c>
      <c r="E202" s="55" t="s">
        <v>596</v>
      </c>
      <c r="F202" s="55" t="s">
        <v>920</v>
      </c>
      <c r="G202" s="436">
        <f>G203</f>
        <v>30071</v>
      </c>
      <c r="H202" s="436">
        <f>H203</f>
        <v>30071</v>
      </c>
      <c r="J202" s="436">
        <f>J203</f>
        <v>27950.6</v>
      </c>
      <c r="K202" s="475">
        <f t="shared" si="19"/>
        <v>92.94868810481859</v>
      </c>
      <c r="L202" s="475">
        <f t="shared" si="20"/>
        <v>92.94868810481859</v>
      </c>
    </row>
    <row r="203" spans="1:12" ht="24">
      <c r="A203" s="57" t="s">
        <v>531</v>
      </c>
      <c r="B203" s="52" t="s">
        <v>684</v>
      </c>
      <c r="C203" s="55" t="s">
        <v>418</v>
      </c>
      <c r="D203" s="55" t="s">
        <v>1291</v>
      </c>
      <c r="E203" s="55" t="s">
        <v>596</v>
      </c>
      <c r="F203" s="55" t="s">
        <v>920</v>
      </c>
      <c r="G203" s="436">
        <f>G204+G206+G208</f>
        <v>30071</v>
      </c>
      <c r="H203" s="436">
        <f>H204+H206+H208</f>
        <v>30071</v>
      </c>
      <c r="J203" s="436">
        <f>J204+J206+J208</f>
        <v>27950.6</v>
      </c>
      <c r="K203" s="475">
        <f t="shared" si="19"/>
        <v>92.94868810481859</v>
      </c>
      <c r="L203" s="475">
        <f t="shared" si="20"/>
        <v>92.94868810481859</v>
      </c>
    </row>
    <row r="204" spans="1:12" ht="36.75" customHeight="1">
      <c r="A204" s="206" t="s">
        <v>63</v>
      </c>
      <c r="B204" s="52" t="s">
        <v>684</v>
      </c>
      <c r="C204" s="55" t="s">
        <v>418</v>
      </c>
      <c r="D204" s="55" t="s">
        <v>1291</v>
      </c>
      <c r="E204" s="55" t="s">
        <v>596</v>
      </c>
      <c r="F204" s="55" t="s">
        <v>64</v>
      </c>
      <c r="G204" s="436">
        <f>G205</f>
        <v>26766</v>
      </c>
      <c r="H204" s="436">
        <f>H205</f>
        <v>26766</v>
      </c>
      <c r="J204" s="436">
        <f>J205</f>
        <v>24826.8</v>
      </c>
      <c r="K204" s="475">
        <f t="shared" si="19"/>
        <v>92.7549876709258</v>
      </c>
      <c r="L204" s="475">
        <f t="shared" si="20"/>
        <v>92.7549876709258</v>
      </c>
    </row>
    <row r="205" spans="1:12" ht="24">
      <c r="A205" s="206" t="s">
        <v>65</v>
      </c>
      <c r="B205" s="52" t="s">
        <v>684</v>
      </c>
      <c r="C205" s="55" t="s">
        <v>418</v>
      </c>
      <c r="D205" s="55" t="s">
        <v>1291</v>
      </c>
      <c r="E205" s="55" t="s">
        <v>596</v>
      </c>
      <c r="F205" s="55" t="s">
        <v>527</v>
      </c>
      <c r="G205" s="437">
        <v>26766</v>
      </c>
      <c r="H205" s="437">
        <v>26766</v>
      </c>
      <c r="J205" s="437">
        <v>24826.8</v>
      </c>
      <c r="K205" s="475">
        <f t="shared" si="19"/>
        <v>92.7549876709258</v>
      </c>
      <c r="L205" s="475">
        <f t="shared" si="20"/>
        <v>92.7549876709258</v>
      </c>
    </row>
    <row r="206" spans="1:12" ht="24">
      <c r="A206" s="206" t="s">
        <v>68</v>
      </c>
      <c r="B206" s="52" t="s">
        <v>684</v>
      </c>
      <c r="C206" s="55" t="s">
        <v>418</v>
      </c>
      <c r="D206" s="55" t="s">
        <v>1291</v>
      </c>
      <c r="E206" s="55" t="s">
        <v>596</v>
      </c>
      <c r="F206" s="55" t="s">
        <v>528</v>
      </c>
      <c r="G206" s="436">
        <f>G207</f>
        <v>3245</v>
      </c>
      <c r="H206" s="436">
        <f>H207</f>
        <v>3245</v>
      </c>
      <c r="J206" s="436">
        <f>J207</f>
        <v>3091</v>
      </c>
      <c r="K206" s="475">
        <f t="shared" si="19"/>
        <v>95.25423728813558</v>
      </c>
      <c r="L206" s="475">
        <f t="shared" si="20"/>
        <v>95.25423728813558</v>
      </c>
    </row>
    <row r="207" spans="1:12" ht="24">
      <c r="A207" s="206" t="s">
        <v>710</v>
      </c>
      <c r="B207" s="52" t="s">
        <v>684</v>
      </c>
      <c r="C207" s="55" t="s">
        <v>418</v>
      </c>
      <c r="D207" s="55" t="s">
        <v>1291</v>
      </c>
      <c r="E207" s="55" t="s">
        <v>596</v>
      </c>
      <c r="F207" s="55" t="s">
        <v>1486</v>
      </c>
      <c r="G207" s="437">
        <v>3245</v>
      </c>
      <c r="H207" s="437">
        <v>3245</v>
      </c>
      <c r="J207" s="437">
        <v>3091</v>
      </c>
      <c r="K207" s="475">
        <f t="shared" si="19"/>
        <v>95.25423728813558</v>
      </c>
      <c r="L207" s="475">
        <f t="shared" si="20"/>
        <v>95.25423728813558</v>
      </c>
    </row>
    <row r="208" spans="1:12" ht="24">
      <c r="A208" s="206" t="s">
        <v>793</v>
      </c>
      <c r="B208" s="52" t="s">
        <v>684</v>
      </c>
      <c r="C208" s="55" t="s">
        <v>418</v>
      </c>
      <c r="D208" s="55" t="s">
        <v>1291</v>
      </c>
      <c r="E208" s="55" t="s">
        <v>596</v>
      </c>
      <c r="F208" s="55" t="s">
        <v>794</v>
      </c>
      <c r="G208" s="436">
        <f>G209</f>
        <v>60</v>
      </c>
      <c r="H208" s="436">
        <f>H209</f>
        <v>60</v>
      </c>
      <c r="J208" s="436">
        <f>J209</f>
        <v>32.8</v>
      </c>
      <c r="K208" s="475">
        <f t="shared" si="19"/>
        <v>54.666666666666664</v>
      </c>
      <c r="L208" s="475">
        <f t="shared" si="20"/>
        <v>54.666666666666664</v>
      </c>
    </row>
    <row r="209" spans="1:12" ht="24">
      <c r="A209" s="206" t="s">
        <v>70</v>
      </c>
      <c r="B209" s="52" t="s">
        <v>684</v>
      </c>
      <c r="C209" s="55" t="s">
        <v>418</v>
      </c>
      <c r="D209" s="55" t="s">
        <v>1291</v>
      </c>
      <c r="E209" s="55" t="s">
        <v>596</v>
      </c>
      <c r="F209" s="55" t="s">
        <v>71</v>
      </c>
      <c r="G209" s="437">
        <v>60</v>
      </c>
      <c r="H209" s="437">
        <v>60</v>
      </c>
      <c r="J209" s="437">
        <v>32.8</v>
      </c>
      <c r="K209" s="475">
        <f t="shared" si="19"/>
        <v>54.666666666666664</v>
      </c>
      <c r="L209" s="475">
        <f t="shared" si="20"/>
        <v>54.666666666666664</v>
      </c>
    </row>
    <row r="210" spans="1:12" ht="24">
      <c r="A210" s="386" t="s">
        <v>1261</v>
      </c>
      <c r="B210" s="52" t="s">
        <v>684</v>
      </c>
      <c r="C210" s="53" t="s">
        <v>418</v>
      </c>
      <c r="D210" s="53" t="s">
        <v>1291</v>
      </c>
      <c r="E210" s="53" t="s">
        <v>1262</v>
      </c>
      <c r="F210" s="53"/>
      <c r="G210" s="436">
        <f>G216+G219+G211+G214</f>
        <v>32511</v>
      </c>
      <c r="H210" s="436">
        <f>H216+H219+H211+H214</f>
        <v>13846</v>
      </c>
      <c r="I210" s="436">
        <f>I216+I219+I211+I214</f>
        <v>0</v>
      </c>
      <c r="J210" s="436">
        <f>J216+J219+J211+J214</f>
        <v>11291.1</v>
      </c>
      <c r="K210" s="475">
        <f t="shared" si="19"/>
        <v>34.73009135369568</v>
      </c>
      <c r="L210" s="475">
        <f t="shared" si="20"/>
        <v>81.54773941932689</v>
      </c>
    </row>
    <row r="211" spans="1:12" ht="108">
      <c r="A211" s="389" t="s">
        <v>1295</v>
      </c>
      <c r="B211" s="52" t="s">
        <v>684</v>
      </c>
      <c r="C211" s="53" t="s">
        <v>418</v>
      </c>
      <c r="D211" s="53" t="s">
        <v>1291</v>
      </c>
      <c r="E211" s="53" t="s">
        <v>1296</v>
      </c>
      <c r="F211" s="53" t="s">
        <v>920</v>
      </c>
      <c r="G211" s="153">
        <f>G213</f>
        <v>18022</v>
      </c>
      <c r="H211" s="437">
        <v>0</v>
      </c>
      <c r="J211" s="437">
        <v>0</v>
      </c>
      <c r="K211" s="475">
        <f t="shared" si="19"/>
        <v>0</v>
      </c>
      <c r="L211" s="475">
        <v>0</v>
      </c>
    </row>
    <row r="212" spans="1:12" ht="24">
      <c r="A212" s="62" t="s">
        <v>139</v>
      </c>
      <c r="B212" s="52" t="s">
        <v>684</v>
      </c>
      <c r="C212" s="53" t="s">
        <v>418</v>
      </c>
      <c r="D212" s="53" t="s">
        <v>1291</v>
      </c>
      <c r="E212" s="53" t="s">
        <v>1296</v>
      </c>
      <c r="F212" s="53" t="s">
        <v>1454</v>
      </c>
      <c r="G212" s="153">
        <f>G213</f>
        <v>18022</v>
      </c>
      <c r="H212" s="437">
        <v>0</v>
      </c>
      <c r="J212" s="437">
        <v>0</v>
      </c>
      <c r="K212" s="475">
        <f t="shared" si="19"/>
        <v>0</v>
      </c>
      <c r="L212" s="475">
        <v>0</v>
      </c>
    </row>
    <row r="213" spans="1:12" ht="24">
      <c r="A213" s="390" t="s">
        <v>403</v>
      </c>
      <c r="B213" s="52" t="s">
        <v>684</v>
      </c>
      <c r="C213" s="53" t="s">
        <v>418</v>
      </c>
      <c r="D213" s="53" t="s">
        <v>1291</v>
      </c>
      <c r="E213" s="53" t="s">
        <v>1296</v>
      </c>
      <c r="F213" s="53" t="s">
        <v>404</v>
      </c>
      <c r="G213" s="60">
        <v>18022</v>
      </c>
      <c r="H213" s="437">
        <v>0</v>
      </c>
      <c r="J213" s="437">
        <v>0</v>
      </c>
      <c r="K213" s="475">
        <f t="shared" si="19"/>
        <v>0</v>
      </c>
      <c r="L213" s="475">
        <v>0</v>
      </c>
    </row>
    <row r="214" spans="1:12" ht="24">
      <c r="A214" s="62" t="s">
        <v>139</v>
      </c>
      <c r="B214" s="52" t="s">
        <v>684</v>
      </c>
      <c r="C214" s="53" t="s">
        <v>418</v>
      </c>
      <c r="D214" s="53" t="s">
        <v>1291</v>
      </c>
      <c r="E214" s="53" t="s">
        <v>1301</v>
      </c>
      <c r="F214" s="53" t="s">
        <v>1454</v>
      </c>
      <c r="G214" s="153">
        <f>G215</f>
        <v>643</v>
      </c>
      <c r="H214" s="437">
        <v>0</v>
      </c>
      <c r="J214" s="437">
        <v>0</v>
      </c>
      <c r="K214" s="475">
        <f t="shared" si="19"/>
        <v>0</v>
      </c>
      <c r="L214" s="475">
        <v>0</v>
      </c>
    </row>
    <row r="215" spans="1:12" ht="60">
      <c r="A215" s="393" t="s">
        <v>597</v>
      </c>
      <c r="B215" s="52" t="s">
        <v>684</v>
      </c>
      <c r="C215" s="53" t="s">
        <v>418</v>
      </c>
      <c r="D215" s="53" t="s">
        <v>1291</v>
      </c>
      <c r="E215" s="53" t="s">
        <v>1301</v>
      </c>
      <c r="F215" s="53" t="s">
        <v>404</v>
      </c>
      <c r="G215" s="60">
        <v>643</v>
      </c>
      <c r="H215" s="437">
        <v>0</v>
      </c>
      <c r="J215" s="437">
        <v>0</v>
      </c>
      <c r="K215" s="475">
        <f t="shared" si="19"/>
        <v>0</v>
      </c>
      <c r="L215" s="475">
        <v>0</v>
      </c>
    </row>
    <row r="216" spans="1:12" ht="132">
      <c r="A216" s="390" t="s">
        <v>598</v>
      </c>
      <c r="B216" s="52" t="s">
        <v>684</v>
      </c>
      <c r="C216" s="53" t="s">
        <v>418</v>
      </c>
      <c r="D216" s="53" t="s">
        <v>1291</v>
      </c>
      <c r="E216" s="53" t="s">
        <v>994</v>
      </c>
      <c r="F216" s="53" t="s">
        <v>920</v>
      </c>
      <c r="G216" s="436">
        <f>G217</f>
        <v>3657</v>
      </c>
      <c r="H216" s="436">
        <f>H217</f>
        <v>3657</v>
      </c>
      <c r="J216" s="436">
        <f>J217</f>
        <v>1258.1</v>
      </c>
      <c r="K216" s="475">
        <f t="shared" si="19"/>
        <v>34.40251572327044</v>
      </c>
      <c r="L216" s="475">
        <f aca="true" t="shared" si="21" ref="L216:L239">J216/H216*100</f>
        <v>34.40251572327044</v>
      </c>
    </row>
    <row r="217" spans="1:12" ht="24">
      <c r="A217" s="62" t="s">
        <v>139</v>
      </c>
      <c r="B217" s="52" t="s">
        <v>684</v>
      </c>
      <c r="C217" s="53" t="s">
        <v>418</v>
      </c>
      <c r="D217" s="53" t="s">
        <v>1291</v>
      </c>
      <c r="E217" s="53" t="s">
        <v>994</v>
      </c>
      <c r="F217" s="53" t="s">
        <v>1454</v>
      </c>
      <c r="G217" s="436">
        <f>G218</f>
        <v>3657</v>
      </c>
      <c r="H217" s="436">
        <f>H218</f>
        <v>3657</v>
      </c>
      <c r="J217" s="436">
        <f>J218</f>
        <v>1258.1</v>
      </c>
      <c r="K217" s="475">
        <f t="shared" si="19"/>
        <v>34.40251572327044</v>
      </c>
      <c r="L217" s="475">
        <f t="shared" si="21"/>
        <v>34.40251572327044</v>
      </c>
    </row>
    <row r="218" spans="1:12" ht="24">
      <c r="A218" s="57" t="s">
        <v>445</v>
      </c>
      <c r="B218" s="52" t="s">
        <v>684</v>
      </c>
      <c r="C218" s="53" t="s">
        <v>418</v>
      </c>
      <c r="D218" s="53" t="s">
        <v>1291</v>
      </c>
      <c r="E218" s="53" t="s">
        <v>994</v>
      </c>
      <c r="F218" s="53" t="s">
        <v>446</v>
      </c>
      <c r="G218" s="437">
        <v>3657</v>
      </c>
      <c r="H218" s="437">
        <v>3657</v>
      </c>
      <c r="J218" s="437">
        <v>1258.1</v>
      </c>
      <c r="K218" s="475">
        <f t="shared" si="19"/>
        <v>34.40251572327044</v>
      </c>
      <c r="L218" s="475">
        <f t="shared" si="21"/>
        <v>34.40251572327044</v>
      </c>
    </row>
    <row r="219" spans="1:12" ht="24">
      <c r="A219" s="62" t="s">
        <v>139</v>
      </c>
      <c r="B219" s="52" t="s">
        <v>684</v>
      </c>
      <c r="C219" s="53" t="s">
        <v>418</v>
      </c>
      <c r="D219" s="53" t="s">
        <v>1291</v>
      </c>
      <c r="E219" s="53" t="s">
        <v>599</v>
      </c>
      <c r="F219" s="53" t="s">
        <v>1454</v>
      </c>
      <c r="G219" s="436">
        <f>G220</f>
        <v>10189</v>
      </c>
      <c r="H219" s="436">
        <f>H220</f>
        <v>10189</v>
      </c>
      <c r="J219" s="436">
        <f>J220</f>
        <v>10033</v>
      </c>
      <c r="K219" s="475">
        <f t="shared" si="19"/>
        <v>98.46893708901757</v>
      </c>
      <c r="L219" s="475">
        <f t="shared" si="21"/>
        <v>98.46893708901757</v>
      </c>
    </row>
    <row r="220" spans="1:12" ht="24">
      <c r="A220" s="57" t="s">
        <v>445</v>
      </c>
      <c r="B220" s="52" t="s">
        <v>684</v>
      </c>
      <c r="C220" s="53" t="s">
        <v>418</v>
      </c>
      <c r="D220" s="53" t="s">
        <v>1291</v>
      </c>
      <c r="E220" s="53" t="s">
        <v>599</v>
      </c>
      <c r="F220" s="53" t="s">
        <v>446</v>
      </c>
      <c r="G220" s="437">
        <v>10189</v>
      </c>
      <c r="H220" s="437">
        <v>10189</v>
      </c>
      <c r="J220" s="437">
        <v>10033</v>
      </c>
      <c r="K220" s="475">
        <f aca="true" t="shared" si="22" ref="K220:K231">J220/G220*100</f>
        <v>98.46893708901757</v>
      </c>
      <c r="L220" s="475">
        <f t="shared" si="21"/>
        <v>98.46893708901757</v>
      </c>
    </row>
    <row r="221" spans="1:12" ht="24">
      <c r="A221" s="57" t="s">
        <v>580</v>
      </c>
      <c r="B221" s="52" t="s">
        <v>684</v>
      </c>
      <c r="C221" s="53" t="s">
        <v>418</v>
      </c>
      <c r="D221" s="53" t="s">
        <v>1291</v>
      </c>
      <c r="E221" s="53" t="s">
        <v>581</v>
      </c>
      <c r="F221" s="53"/>
      <c r="G221" s="436">
        <f>G222+G225+G229</f>
        <v>69607</v>
      </c>
      <c r="H221" s="436">
        <f>H222+H225+H229</f>
        <v>72867.7</v>
      </c>
      <c r="J221" s="436">
        <f>J222+J225+J229</f>
        <v>71341.4</v>
      </c>
      <c r="K221" s="475">
        <f t="shared" si="22"/>
        <v>102.49170342063299</v>
      </c>
      <c r="L221" s="475">
        <f t="shared" si="21"/>
        <v>97.90538194563571</v>
      </c>
    </row>
    <row r="222" spans="1:12" ht="60">
      <c r="A222" s="73" t="s">
        <v>246</v>
      </c>
      <c r="B222" s="52" t="s">
        <v>684</v>
      </c>
      <c r="C222" s="53" t="s">
        <v>418</v>
      </c>
      <c r="D222" s="53" t="s">
        <v>1291</v>
      </c>
      <c r="E222" s="53" t="s">
        <v>601</v>
      </c>
      <c r="F222" s="53" t="s">
        <v>920</v>
      </c>
      <c r="G222" s="436">
        <f>G223</f>
        <v>1704</v>
      </c>
      <c r="H222" s="436">
        <f>H223</f>
        <v>1607</v>
      </c>
      <c r="J222" s="436">
        <f>J223</f>
        <v>1448.3</v>
      </c>
      <c r="K222" s="475">
        <f t="shared" si="22"/>
        <v>84.99413145539906</v>
      </c>
      <c r="L222" s="475">
        <f t="shared" si="21"/>
        <v>90.12445550715618</v>
      </c>
    </row>
    <row r="223" spans="1:12" ht="24">
      <c r="A223" s="62" t="s">
        <v>139</v>
      </c>
      <c r="B223" s="52" t="s">
        <v>684</v>
      </c>
      <c r="C223" s="53" t="s">
        <v>418</v>
      </c>
      <c r="D223" s="53" t="s">
        <v>1291</v>
      </c>
      <c r="E223" s="53" t="s">
        <v>601</v>
      </c>
      <c r="F223" s="53" t="s">
        <v>1454</v>
      </c>
      <c r="G223" s="436">
        <f>G224</f>
        <v>1704</v>
      </c>
      <c r="H223" s="436">
        <f>H224</f>
        <v>1607</v>
      </c>
      <c r="J223" s="436">
        <f>J224</f>
        <v>1448.3</v>
      </c>
      <c r="K223" s="475">
        <f t="shared" si="22"/>
        <v>84.99413145539906</v>
      </c>
      <c r="L223" s="475">
        <f t="shared" si="21"/>
        <v>90.12445550715618</v>
      </c>
    </row>
    <row r="224" spans="1:12" ht="24">
      <c r="A224" s="57" t="s">
        <v>553</v>
      </c>
      <c r="B224" s="52" t="s">
        <v>684</v>
      </c>
      <c r="C224" s="53" t="s">
        <v>418</v>
      </c>
      <c r="D224" s="53" t="s">
        <v>1291</v>
      </c>
      <c r="E224" s="53" t="s">
        <v>601</v>
      </c>
      <c r="F224" s="53" t="s">
        <v>554</v>
      </c>
      <c r="G224" s="437">
        <f>1704</f>
        <v>1704</v>
      </c>
      <c r="H224" s="437">
        <f>1704-97</f>
        <v>1607</v>
      </c>
      <c r="J224" s="437">
        <v>1448.3</v>
      </c>
      <c r="K224" s="475">
        <f t="shared" si="22"/>
        <v>84.99413145539906</v>
      </c>
      <c r="L224" s="475">
        <f t="shared" si="21"/>
        <v>90.12445550715618</v>
      </c>
    </row>
    <row r="225" spans="1:12" ht="24">
      <c r="A225" s="57" t="s">
        <v>602</v>
      </c>
      <c r="B225" s="52" t="s">
        <v>684</v>
      </c>
      <c r="C225" s="53" t="s">
        <v>418</v>
      </c>
      <c r="D225" s="53" t="s">
        <v>1291</v>
      </c>
      <c r="E225" s="53" t="s">
        <v>603</v>
      </c>
      <c r="F225" s="53" t="s">
        <v>920</v>
      </c>
      <c r="G225" s="436">
        <f>G226</f>
        <v>3000</v>
      </c>
      <c r="H225" s="436">
        <f>H226</f>
        <v>3847</v>
      </c>
      <c r="J225" s="436">
        <f>J226</f>
        <v>2681.6</v>
      </c>
      <c r="K225" s="475">
        <f t="shared" si="22"/>
        <v>89.38666666666666</v>
      </c>
      <c r="L225" s="475">
        <f t="shared" si="21"/>
        <v>69.7062646217832</v>
      </c>
    </row>
    <row r="226" spans="1:12" ht="17.25" customHeight="1">
      <c r="A226" s="206" t="s">
        <v>68</v>
      </c>
      <c r="B226" s="52" t="s">
        <v>684</v>
      </c>
      <c r="C226" s="53" t="s">
        <v>418</v>
      </c>
      <c r="D226" s="53" t="s">
        <v>1291</v>
      </c>
      <c r="E226" s="53" t="s">
        <v>603</v>
      </c>
      <c r="F226" s="53" t="s">
        <v>528</v>
      </c>
      <c r="G226" s="436">
        <f>G227</f>
        <v>3000</v>
      </c>
      <c r="H226" s="436">
        <f>H227</f>
        <v>3847</v>
      </c>
      <c r="J226" s="436">
        <f>J227</f>
        <v>2681.6</v>
      </c>
      <c r="K226" s="475">
        <f t="shared" si="22"/>
        <v>89.38666666666666</v>
      </c>
      <c r="L226" s="475">
        <f t="shared" si="21"/>
        <v>69.7062646217832</v>
      </c>
    </row>
    <row r="227" spans="1:12" ht="24">
      <c r="A227" s="57" t="s">
        <v>535</v>
      </c>
      <c r="B227" s="52" t="s">
        <v>684</v>
      </c>
      <c r="C227" s="53" t="s">
        <v>418</v>
      </c>
      <c r="D227" s="53" t="s">
        <v>1291</v>
      </c>
      <c r="E227" s="53" t="s">
        <v>603</v>
      </c>
      <c r="F227" s="53" t="s">
        <v>1486</v>
      </c>
      <c r="G227" s="437">
        <f>3000</f>
        <v>3000</v>
      </c>
      <c r="H227" s="437">
        <f>3000+757+90</f>
        <v>3847</v>
      </c>
      <c r="J227" s="437">
        <v>2681.6</v>
      </c>
      <c r="K227" s="475">
        <f t="shared" si="22"/>
        <v>89.38666666666666</v>
      </c>
      <c r="L227" s="475">
        <f t="shared" si="21"/>
        <v>69.7062646217832</v>
      </c>
    </row>
    <row r="228" spans="1:12" ht="24">
      <c r="A228" s="386" t="s">
        <v>1261</v>
      </c>
      <c r="B228" s="52" t="s">
        <v>684</v>
      </c>
      <c r="C228" s="53" t="s">
        <v>418</v>
      </c>
      <c r="D228" s="53" t="s">
        <v>1291</v>
      </c>
      <c r="E228" s="53" t="s">
        <v>604</v>
      </c>
      <c r="F228" s="53" t="s">
        <v>920</v>
      </c>
      <c r="G228" s="436">
        <f>G229</f>
        <v>64903</v>
      </c>
      <c r="H228" s="436">
        <f>H229</f>
        <v>67413.7</v>
      </c>
      <c r="J228" s="436">
        <f>J229</f>
        <v>67211.5</v>
      </c>
      <c r="K228" s="475">
        <f t="shared" si="22"/>
        <v>103.55684637073787</v>
      </c>
      <c r="L228" s="475">
        <f t="shared" si="21"/>
        <v>99.70006096683612</v>
      </c>
    </row>
    <row r="229" spans="1:12" ht="24">
      <c r="A229" s="62" t="s">
        <v>139</v>
      </c>
      <c r="B229" s="52" t="s">
        <v>684</v>
      </c>
      <c r="C229" s="53" t="s">
        <v>418</v>
      </c>
      <c r="D229" s="53" t="s">
        <v>1291</v>
      </c>
      <c r="E229" s="53" t="s">
        <v>604</v>
      </c>
      <c r="F229" s="53" t="s">
        <v>1454</v>
      </c>
      <c r="G229" s="437">
        <f>G230</f>
        <v>64903</v>
      </c>
      <c r="H229" s="437">
        <f>H230</f>
        <v>67413.7</v>
      </c>
      <c r="I229" s="437">
        <f>I230</f>
        <v>0</v>
      </c>
      <c r="J229" s="437">
        <f>J230</f>
        <v>67211.5</v>
      </c>
      <c r="K229" s="475">
        <f t="shared" si="22"/>
        <v>103.55684637073787</v>
      </c>
      <c r="L229" s="475">
        <f t="shared" si="21"/>
        <v>99.70006096683612</v>
      </c>
    </row>
    <row r="230" spans="1:12" ht="24">
      <c r="A230" s="57" t="s">
        <v>141</v>
      </c>
      <c r="B230" s="52" t="s">
        <v>684</v>
      </c>
      <c r="C230" s="53" t="s">
        <v>418</v>
      </c>
      <c r="D230" s="53" t="s">
        <v>1291</v>
      </c>
      <c r="E230" s="53" t="s">
        <v>604</v>
      </c>
      <c r="F230" s="53" t="s">
        <v>554</v>
      </c>
      <c r="G230" s="437">
        <f>64903</f>
        <v>64903</v>
      </c>
      <c r="H230" s="437">
        <f>64903+400+610.8-0.1+1500</f>
        <v>67413.7</v>
      </c>
      <c r="J230" s="437">
        <v>67211.5</v>
      </c>
      <c r="K230" s="475">
        <f t="shared" si="22"/>
        <v>103.55684637073787</v>
      </c>
      <c r="L230" s="475">
        <f t="shared" si="21"/>
        <v>99.70006096683612</v>
      </c>
    </row>
    <row r="231" spans="1:12" ht="24">
      <c r="A231" s="57" t="s">
        <v>803</v>
      </c>
      <c r="B231" s="52" t="s">
        <v>684</v>
      </c>
      <c r="C231" s="53" t="s">
        <v>418</v>
      </c>
      <c r="D231" s="53" t="s">
        <v>1291</v>
      </c>
      <c r="E231" s="53" t="s">
        <v>604</v>
      </c>
      <c r="F231" s="53" t="s">
        <v>554</v>
      </c>
      <c r="G231" s="437">
        <v>4302</v>
      </c>
      <c r="H231" s="437">
        <v>4382</v>
      </c>
      <c r="J231" s="437">
        <v>4382</v>
      </c>
      <c r="K231" s="475">
        <f t="shared" si="22"/>
        <v>101.85960018596</v>
      </c>
      <c r="L231" s="475">
        <f t="shared" si="21"/>
        <v>100</v>
      </c>
    </row>
    <row r="232" spans="1:12" ht="24">
      <c r="A232" s="57" t="s">
        <v>247</v>
      </c>
      <c r="B232" s="52" t="s">
        <v>684</v>
      </c>
      <c r="C232" s="53" t="s">
        <v>418</v>
      </c>
      <c r="D232" s="53" t="s">
        <v>1291</v>
      </c>
      <c r="E232" s="53" t="s">
        <v>604</v>
      </c>
      <c r="F232" s="53" t="s">
        <v>554</v>
      </c>
      <c r="G232" s="437">
        <v>0</v>
      </c>
      <c r="H232" s="437">
        <v>233</v>
      </c>
      <c r="J232" s="437">
        <v>228.4</v>
      </c>
      <c r="K232" s="475">
        <v>0</v>
      </c>
      <c r="L232" s="475">
        <f t="shared" si="21"/>
        <v>98.02575107296137</v>
      </c>
    </row>
    <row r="233" spans="1:12" ht="15.75">
      <c r="A233" s="58" t="s">
        <v>427</v>
      </c>
      <c r="B233" s="52" t="s">
        <v>684</v>
      </c>
      <c r="C233" s="55" t="s">
        <v>519</v>
      </c>
      <c r="D233" s="55"/>
      <c r="E233" s="55"/>
      <c r="F233" s="55"/>
      <c r="G233" s="436">
        <f>G234+G240</f>
        <v>41788</v>
      </c>
      <c r="H233" s="436">
        <f>H234+H240</f>
        <v>37255</v>
      </c>
      <c r="J233" s="436">
        <f>J234+J240</f>
        <v>26969.4</v>
      </c>
      <c r="K233" s="460">
        <f aca="true" t="shared" si="23" ref="K233:K239">J233/G233*100</f>
        <v>64.53862352828563</v>
      </c>
      <c r="L233" s="460">
        <f t="shared" si="21"/>
        <v>72.39135686485037</v>
      </c>
    </row>
    <row r="234" spans="1:12" ht="15.75">
      <c r="A234" s="61" t="s">
        <v>401</v>
      </c>
      <c r="B234" s="52" t="s">
        <v>684</v>
      </c>
      <c r="C234" s="55" t="s">
        <v>519</v>
      </c>
      <c r="D234" s="55" t="s">
        <v>530</v>
      </c>
      <c r="E234" s="55"/>
      <c r="F234" s="55"/>
      <c r="G234" s="436">
        <f aca="true" t="shared" si="24" ref="G234:H238">G235</f>
        <v>3000</v>
      </c>
      <c r="H234" s="436">
        <f t="shared" si="24"/>
        <v>3000</v>
      </c>
      <c r="J234" s="436">
        <f>J235</f>
        <v>2812.5</v>
      </c>
      <c r="K234" s="460">
        <f t="shared" si="23"/>
        <v>93.75</v>
      </c>
      <c r="L234" s="460">
        <f t="shared" si="21"/>
        <v>93.75</v>
      </c>
    </row>
    <row r="235" spans="1:12" ht="24">
      <c r="A235" s="56" t="s">
        <v>241</v>
      </c>
      <c r="B235" s="52" t="s">
        <v>684</v>
      </c>
      <c r="C235" s="55" t="s">
        <v>519</v>
      </c>
      <c r="D235" s="55" t="s">
        <v>530</v>
      </c>
      <c r="E235" s="55" t="s">
        <v>1228</v>
      </c>
      <c r="F235" s="55"/>
      <c r="G235" s="436">
        <f t="shared" si="24"/>
        <v>3000</v>
      </c>
      <c r="H235" s="436">
        <f t="shared" si="24"/>
        <v>3000</v>
      </c>
      <c r="J235" s="436">
        <f>J236</f>
        <v>2812.5</v>
      </c>
      <c r="K235" s="475">
        <f t="shared" si="23"/>
        <v>93.75</v>
      </c>
      <c r="L235" s="475">
        <f t="shared" si="21"/>
        <v>93.75</v>
      </c>
    </row>
    <row r="236" spans="1:12" ht="24">
      <c r="A236" s="386" t="s">
        <v>1261</v>
      </c>
      <c r="B236" s="52" t="s">
        <v>684</v>
      </c>
      <c r="C236" s="55" t="s">
        <v>519</v>
      </c>
      <c r="D236" s="55" t="s">
        <v>530</v>
      </c>
      <c r="E236" s="55" t="s">
        <v>1262</v>
      </c>
      <c r="F236" s="55"/>
      <c r="G236" s="436">
        <f t="shared" si="24"/>
        <v>3000</v>
      </c>
      <c r="H236" s="436">
        <f t="shared" si="24"/>
        <v>3000</v>
      </c>
      <c r="J236" s="436">
        <f>J237</f>
        <v>2812.5</v>
      </c>
      <c r="K236" s="475">
        <f t="shared" si="23"/>
        <v>93.75</v>
      </c>
      <c r="L236" s="475">
        <f t="shared" si="21"/>
        <v>93.75</v>
      </c>
    </row>
    <row r="237" spans="1:12" ht="108">
      <c r="A237" s="62" t="s">
        <v>1077</v>
      </c>
      <c r="B237" s="52" t="s">
        <v>684</v>
      </c>
      <c r="C237" s="55" t="s">
        <v>1078</v>
      </c>
      <c r="D237" s="55" t="s">
        <v>530</v>
      </c>
      <c r="E237" s="55" t="s">
        <v>24</v>
      </c>
      <c r="F237" s="55" t="s">
        <v>920</v>
      </c>
      <c r="G237" s="436">
        <f t="shared" si="24"/>
        <v>3000</v>
      </c>
      <c r="H237" s="436">
        <f t="shared" si="24"/>
        <v>3000</v>
      </c>
      <c r="J237" s="436">
        <f>J238</f>
        <v>2812.5</v>
      </c>
      <c r="K237" s="475">
        <f t="shared" si="23"/>
        <v>93.75</v>
      </c>
      <c r="L237" s="475">
        <f t="shared" si="21"/>
        <v>93.75</v>
      </c>
    </row>
    <row r="238" spans="1:12" ht="24">
      <c r="A238" s="206" t="s">
        <v>767</v>
      </c>
      <c r="B238" s="52" t="s">
        <v>684</v>
      </c>
      <c r="C238" s="55" t="s">
        <v>1078</v>
      </c>
      <c r="D238" s="55" t="s">
        <v>530</v>
      </c>
      <c r="E238" s="55" t="s">
        <v>24</v>
      </c>
      <c r="F238" s="55" t="s">
        <v>768</v>
      </c>
      <c r="G238" s="436">
        <f t="shared" si="24"/>
        <v>3000</v>
      </c>
      <c r="H238" s="436">
        <f t="shared" si="24"/>
        <v>3000</v>
      </c>
      <c r="J238" s="436">
        <f>J239</f>
        <v>2812.5</v>
      </c>
      <c r="K238" s="475">
        <f t="shared" si="23"/>
        <v>93.75</v>
      </c>
      <c r="L238" s="475">
        <f t="shared" si="21"/>
        <v>93.75</v>
      </c>
    </row>
    <row r="239" spans="1:12" ht="24">
      <c r="A239" s="62" t="s">
        <v>1079</v>
      </c>
      <c r="B239" s="52" t="s">
        <v>684</v>
      </c>
      <c r="C239" s="55" t="s">
        <v>1078</v>
      </c>
      <c r="D239" s="55" t="s">
        <v>530</v>
      </c>
      <c r="E239" s="55" t="s">
        <v>24</v>
      </c>
      <c r="F239" s="55" t="s">
        <v>1074</v>
      </c>
      <c r="G239" s="437">
        <v>3000</v>
      </c>
      <c r="H239" s="437">
        <v>3000</v>
      </c>
      <c r="J239" s="437">
        <v>2812.5</v>
      </c>
      <c r="K239" s="475">
        <f t="shared" si="23"/>
        <v>93.75</v>
      </c>
      <c r="L239" s="475">
        <f t="shared" si="21"/>
        <v>93.75</v>
      </c>
    </row>
    <row r="240" spans="1:12" ht="15.75">
      <c r="A240" s="71" t="s">
        <v>402</v>
      </c>
      <c r="B240" s="52" t="s">
        <v>684</v>
      </c>
      <c r="C240" s="55" t="s">
        <v>519</v>
      </c>
      <c r="D240" s="55" t="s">
        <v>1151</v>
      </c>
      <c r="E240" s="55"/>
      <c r="F240" s="55"/>
      <c r="G240" s="436">
        <f aca="true" t="shared" si="25" ref="G240:H243">G241</f>
        <v>38788</v>
      </c>
      <c r="H240" s="436">
        <f t="shared" si="25"/>
        <v>34255</v>
      </c>
      <c r="J240" s="436">
        <f>J241</f>
        <v>24156.9</v>
      </c>
      <c r="K240" s="460">
        <f>J240/G240*100</f>
        <v>62.27931318964629</v>
      </c>
      <c r="L240" s="460">
        <f>J240/H240*100</f>
        <v>70.52079988322873</v>
      </c>
    </row>
    <row r="241" spans="1:12" ht="36">
      <c r="A241" s="57" t="s">
        <v>1229</v>
      </c>
      <c r="B241" s="52" t="s">
        <v>684</v>
      </c>
      <c r="C241" s="55" t="s">
        <v>519</v>
      </c>
      <c r="D241" s="55" t="s">
        <v>1151</v>
      </c>
      <c r="E241" s="55" t="s">
        <v>861</v>
      </c>
      <c r="F241" s="55" t="s">
        <v>920</v>
      </c>
      <c r="G241" s="436">
        <f t="shared" si="25"/>
        <v>38788</v>
      </c>
      <c r="H241" s="436">
        <f t="shared" si="25"/>
        <v>34255</v>
      </c>
      <c r="J241" s="436">
        <f>J242</f>
        <v>24156.9</v>
      </c>
      <c r="K241" s="460">
        <f>J241/G241*100</f>
        <v>62.27931318964629</v>
      </c>
      <c r="L241" s="460">
        <f>J241/H241*100</f>
        <v>70.52079988322873</v>
      </c>
    </row>
    <row r="242" spans="1:12" ht="60">
      <c r="A242" s="62" t="s">
        <v>860</v>
      </c>
      <c r="B242" s="52" t="s">
        <v>684</v>
      </c>
      <c r="C242" s="55" t="s">
        <v>519</v>
      </c>
      <c r="D242" s="55" t="s">
        <v>1151</v>
      </c>
      <c r="E242" s="55" t="s">
        <v>861</v>
      </c>
      <c r="F242" s="55" t="s">
        <v>920</v>
      </c>
      <c r="G242" s="436">
        <f t="shared" si="25"/>
        <v>38788</v>
      </c>
      <c r="H242" s="436">
        <f t="shared" si="25"/>
        <v>34255</v>
      </c>
      <c r="J242" s="436">
        <f>J243</f>
        <v>24156.9</v>
      </c>
      <c r="K242" s="475">
        <f>J242/G242*100</f>
        <v>62.27931318964629</v>
      </c>
      <c r="L242" s="475">
        <f>J242/H242*100</f>
        <v>70.52079988322873</v>
      </c>
    </row>
    <row r="243" spans="1:12" ht="24">
      <c r="A243" s="206" t="s">
        <v>767</v>
      </c>
      <c r="B243" s="52" t="s">
        <v>684</v>
      </c>
      <c r="C243" s="55" t="s">
        <v>519</v>
      </c>
      <c r="D243" s="55" t="s">
        <v>1151</v>
      </c>
      <c r="E243" s="55" t="s">
        <v>861</v>
      </c>
      <c r="F243" s="55" t="s">
        <v>768</v>
      </c>
      <c r="G243" s="436">
        <f t="shared" si="25"/>
        <v>38788</v>
      </c>
      <c r="H243" s="436">
        <f t="shared" si="25"/>
        <v>34255</v>
      </c>
      <c r="J243" s="436">
        <f>J244</f>
        <v>24156.9</v>
      </c>
      <c r="K243" s="475">
        <f>J243/G243*100</f>
        <v>62.27931318964629</v>
      </c>
      <c r="L243" s="475">
        <f>J243/H243*100</f>
        <v>70.52079988322873</v>
      </c>
    </row>
    <row r="244" spans="1:12" ht="24" customHeight="1">
      <c r="A244" s="62" t="s">
        <v>1079</v>
      </c>
      <c r="B244" s="52" t="s">
        <v>684</v>
      </c>
      <c r="C244" s="55" t="s">
        <v>519</v>
      </c>
      <c r="D244" s="55" t="s">
        <v>1151</v>
      </c>
      <c r="E244" s="55" t="s">
        <v>861</v>
      </c>
      <c r="F244" s="55" t="s">
        <v>1074</v>
      </c>
      <c r="G244" s="437">
        <f>38788</f>
        <v>38788</v>
      </c>
      <c r="H244" s="437">
        <f>38788-4027-506</f>
        <v>34255</v>
      </c>
      <c r="J244" s="437">
        <v>24156.9</v>
      </c>
      <c r="K244" s="475">
        <f>J244/G244*100</f>
        <v>62.27931318964629</v>
      </c>
      <c r="L244" s="475">
        <f>J244/H244*100</f>
        <v>70.52079988322873</v>
      </c>
    </row>
    <row r="245" spans="1:12" ht="19.5" customHeight="1">
      <c r="A245" s="66" t="s">
        <v>1318</v>
      </c>
      <c r="B245" s="50" t="s">
        <v>1319</v>
      </c>
      <c r="C245" s="67"/>
      <c r="D245" s="67"/>
      <c r="E245" s="67"/>
      <c r="F245" s="67"/>
      <c r="G245" s="439">
        <f>G246</f>
        <v>242473</v>
      </c>
      <c r="H245" s="439">
        <f>H246</f>
        <v>270428.9</v>
      </c>
      <c r="J245" s="439">
        <f>J246</f>
        <v>233179.9</v>
      </c>
      <c r="K245" s="51">
        <f aca="true" t="shared" si="26" ref="K245:K257">J245/G245*100</f>
        <v>96.16736708829437</v>
      </c>
      <c r="L245" s="51">
        <f aca="true" t="shared" si="27" ref="L245:L273">J245/H245*100</f>
        <v>86.22595440058366</v>
      </c>
    </row>
    <row r="246" spans="1:12" ht="15.75">
      <c r="A246" s="58" t="s">
        <v>924</v>
      </c>
      <c r="B246" s="52" t="s">
        <v>1319</v>
      </c>
      <c r="C246" s="68" t="s">
        <v>1291</v>
      </c>
      <c r="D246" s="69"/>
      <c r="E246" s="70"/>
      <c r="F246" s="70"/>
      <c r="G246" s="435">
        <f>G247+G265+G292+G297+G306+G314</f>
        <v>242473</v>
      </c>
      <c r="H246" s="435">
        <f>H247+H265+H292+H297+H306+H314</f>
        <v>270428.9</v>
      </c>
      <c r="J246" s="435">
        <f>J247+J265+J292+J297+J306+J314</f>
        <v>233179.9</v>
      </c>
      <c r="K246" s="460">
        <f t="shared" si="26"/>
        <v>96.16736708829437</v>
      </c>
      <c r="L246" s="460">
        <f t="shared" si="27"/>
        <v>86.22595440058366</v>
      </c>
    </row>
    <row r="247" spans="1:12" ht="15.75">
      <c r="A247" s="61" t="s">
        <v>795</v>
      </c>
      <c r="B247" s="52" t="s">
        <v>1319</v>
      </c>
      <c r="C247" s="55" t="s">
        <v>1291</v>
      </c>
      <c r="D247" s="55" t="s">
        <v>1105</v>
      </c>
      <c r="E247" s="59"/>
      <c r="F247" s="59"/>
      <c r="G247" s="436">
        <f>G248</f>
        <v>121447.5</v>
      </c>
      <c r="H247" s="436">
        <f>H248</f>
        <v>144702.1</v>
      </c>
      <c r="J247" s="436">
        <f>J248</f>
        <v>127938.7</v>
      </c>
      <c r="K247" s="460">
        <f t="shared" si="26"/>
        <v>105.34486094814632</v>
      </c>
      <c r="L247" s="460">
        <f t="shared" si="27"/>
        <v>88.41523378029758</v>
      </c>
    </row>
    <row r="248" spans="1:12" ht="24" customHeight="1">
      <c r="A248" s="72" t="s">
        <v>1430</v>
      </c>
      <c r="B248" s="52" t="s">
        <v>1319</v>
      </c>
      <c r="C248" s="55" t="s">
        <v>1291</v>
      </c>
      <c r="D248" s="55" t="s">
        <v>1105</v>
      </c>
      <c r="E248" s="55" t="s">
        <v>1431</v>
      </c>
      <c r="F248" s="55"/>
      <c r="G248" s="436">
        <f>G249+G258</f>
        <v>121447.5</v>
      </c>
      <c r="H248" s="436">
        <f>H249+H258</f>
        <v>144702.1</v>
      </c>
      <c r="J248" s="436">
        <f>J249+J258</f>
        <v>127938.7</v>
      </c>
      <c r="K248" s="475">
        <f t="shared" si="26"/>
        <v>105.34486094814632</v>
      </c>
      <c r="L248" s="475">
        <f t="shared" si="27"/>
        <v>88.41523378029758</v>
      </c>
    </row>
    <row r="249" spans="1:12" ht="40.5" customHeight="1">
      <c r="A249" s="73" t="s">
        <v>1432</v>
      </c>
      <c r="B249" s="52" t="s">
        <v>1319</v>
      </c>
      <c r="C249" s="55" t="s">
        <v>1291</v>
      </c>
      <c r="D249" s="55" t="s">
        <v>1105</v>
      </c>
      <c r="E249" s="55" t="s">
        <v>1433</v>
      </c>
      <c r="F249" s="55"/>
      <c r="G249" s="436">
        <f>G250+G252+G255</f>
        <v>52748</v>
      </c>
      <c r="H249" s="436">
        <f>H250+H252+H255</f>
        <v>55016.4</v>
      </c>
      <c r="J249" s="436">
        <f>J250+J252+J255</f>
        <v>38357.7</v>
      </c>
      <c r="K249" s="475">
        <f t="shared" si="26"/>
        <v>72.71877606733904</v>
      </c>
      <c r="L249" s="475">
        <f t="shared" si="27"/>
        <v>69.72048334678385</v>
      </c>
    </row>
    <row r="250" spans="1:12" ht="23.25" customHeight="1">
      <c r="A250" s="62" t="s">
        <v>139</v>
      </c>
      <c r="B250" s="52" t="s">
        <v>1319</v>
      </c>
      <c r="C250" s="55" t="s">
        <v>1291</v>
      </c>
      <c r="D250" s="55" t="s">
        <v>1105</v>
      </c>
      <c r="E250" s="55" t="s">
        <v>1434</v>
      </c>
      <c r="F250" s="55" t="s">
        <v>1454</v>
      </c>
      <c r="G250" s="436">
        <f>G251</f>
        <v>16037</v>
      </c>
      <c r="H250" s="436">
        <f>H251</f>
        <v>15689.4</v>
      </c>
      <c r="J250" s="436">
        <f>J251</f>
        <v>15659.4</v>
      </c>
      <c r="K250" s="475">
        <f t="shared" si="26"/>
        <v>97.64544490864876</v>
      </c>
      <c r="L250" s="475">
        <f t="shared" si="27"/>
        <v>99.80878809897128</v>
      </c>
    </row>
    <row r="251" spans="1:12" ht="15.75" customHeight="1">
      <c r="A251" s="57" t="s">
        <v>1355</v>
      </c>
      <c r="B251" s="52" t="s">
        <v>1319</v>
      </c>
      <c r="C251" s="55" t="s">
        <v>1291</v>
      </c>
      <c r="D251" s="55" t="s">
        <v>1105</v>
      </c>
      <c r="E251" s="55" t="s">
        <v>1434</v>
      </c>
      <c r="F251" s="55" t="s">
        <v>554</v>
      </c>
      <c r="G251" s="437">
        <v>16037</v>
      </c>
      <c r="H251" s="437">
        <f>15686-1166.6+1700-530</f>
        <v>15689.4</v>
      </c>
      <c r="J251" s="437">
        <v>15659.4</v>
      </c>
      <c r="K251" s="475">
        <f t="shared" si="26"/>
        <v>97.64544490864876</v>
      </c>
      <c r="L251" s="475">
        <f t="shared" si="27"/>
        <v>99.80878809897128</v>
      </c>
    </row>
    <row r="252" spans="1:12" ht="26.25" customHeight="1">
      <c r="A252" s="73" t="s">
        <v>1435</v>
      </c>
      <c r="B252" s="52" t="s">
        <v>1319</v>
      </c>
      <c r="C252" s="55" t="s">
        <v>1291</v>
      </c>
      <c r="D252" s="55" t="s">
        <v>1105</v>
      </c>
      <c r="E252" s="55" t="s">
        <v>1436</v>
      </c>
      <c r="F252" s="55"/>
      <c r="G252" s="441">
        <f>G253</f>
        <v>36196</v>
      </c>
      <c r="H252" s="441">
        <f>H253</f>
        <v>39156</v>
      </c>
      <c r="J252" s="441">
        <f>J253</f>
        <v>22669.7</v>
      </c>
      <c r="K252" s="475">
        <f t="shared" si="26"/>
        <v>62.630401149298265</v>
      </c>
      <c r="L252" s="475">
        <f t="shared" si="27"/>
        <v>57.89585248748595</v>
      </c>
    </row>
    <row r="253" spans="1:12" ht="26.25" customHeight="1">
      <c r="A253" s="62" t="s">
        <v>139</v>
      </c>
      <c r="B253" s="52" t="s">
        <v>1319</v>
      </c>
      <c r="C253" s="55" t="s">
        <v>1291</v>
      </c>
      <c r="D253" s="55" t="s">
        <v>1105</v>
      </c>
      <c r="E253" s="55" t="s">
        <v>1436</v>
      </c>
      <c r="F253" s="55" t="s">
        <v>1454</v>
      </c>
      <c r="G253" s="441">
        <f>G254</f>
        <v>36196</v>
      </c>
      <c r="H253" s="441">
        <f>H254</f>
        <v>39156</v>
      </c>
      <c r="J253" s="441">
        <f>J254</f>
        <v>22669.7</v>
      </c>
      <c r="K253" s="475">
        <f t="shared" si="26"/>
        <v>62.630401149298265</v>
      </c>
      <c r="L253" s="475">
        <f t="shared" si="27"/>
        <v>57.89585248748595</v>
      </c>
    </row>
    <row r="254" spans="1:12" ht="24">
      <c r="A254" s="57" t="s">
        <v>1355</v>
      </c>
      <c r="B254" s="52" t="s">
        <v>1319</v>
      </c>
      <c r="C254" s="55" t="s">
        <v>1291</v>
      </c>
      <c r="D254" s="55" t="s">
        <v>1105</v>
      </c>
      <c r="E254" s="55" t="s">
        <v>1436</v>
      </c>
      <c r="F254" s="59" t="s">
        <v>554</v>
      </c>
      <c r="G254" s="437">
        <f>36196</f>
        <v>36196</v>
      </c>
      <c r="H254" s="437">
        <f>36196-2300-891+5151+1000-200+200</f>
        <v>39156</v>
      </c>
      <c r="J254" s="437">
        <v>22669.7</v>
      </c>
      <c r="K254" s="475">
        <f t="shared" si="26"/>
        <v>62.630401149298265</v>
      </c>
      <c r="L254" s="475">
        <f t="shared" si="27"/>
        <v>57.89585248748595</v>
      </c>
    </row>
    <row r="255" spans="1:12" ht="48">
      <c r="A255" s="57" t="s">
        <v>1437</v>
      </c>
      <c r="B255" s="52" t="s">
        <v>1319</v>
      </c>
      <c r="C255" s="55" t="s">
        <v>1291</v>
      </c>
      <c r="D255" s="55" t="s">
        <v>1105</v>
      </c>
      <c r="E255" s="55" t="s">
        <v>1438</v>
      </c>
      <c r="F255" s="59"/>
      <c r="G255" s="436">
        <f>G256</f>
        <v>515</v>
      </c>
      <c r="H255" s="436">
        <f>H256</f>
        <v>171</v>
      </c>
      <c r="J255" s="436">
        <f>J256</f>
        <v>28.6</v>
      </c>
      <c r="K255" s="475">
        <f t="shared" si="26"/>
        <v>5.553398058252427</v>
      </c>
      <c r="L255" s="475">
        <f t="shared" si="27"/>
        <v>16.72514619883041</v>
      </c>
    </row>
    <row r="256" spans="1:12" ht="24">
      <c r="A256" s="62" t="s">
        <v>139</v>
      </c>
      <c r="B256" s="52" t="s">
        <v>1319</v>
      </c>
      <c r="C256" s="396" t="s">
        <v>1291</v>
      </c>
      <c r="D256" s="396" t="s">
        <v>1105</v>
      </c>
      <c r="E256" s="396" t="s">
        <v>1438</v>
      </c>
      <c r="F256" s="397" t="s">
        <v>1454</v>
      </c>
      <c r="G256" s="442">
        <f>G257</f>
        <v>515</v>
      </c>
      <c r="H256" s="442">
        <f>H257</f>
        <v>171</v>
      </c>
      <c r="J256" s="442">
        <f>J257</f>
        <v>28.6</v>
      </c>
      <c r="K256" s="475">
        <f t="shared" si="26"/>
        <v>5.553398058252427</v>
      </c>
      <c r="L256" s="475">
        <f t="shared" si="27"/>
        <v>16.72514619883041</v>
      </c>
    </row>
    <row r="257" spans="1:12" ht="24">
      <c r="A257" s="234" t="s">
        <v>1355</v>
      </c>
      <c r="B257" s="52" t="s">
        <v>1319</v>
      </c>
      <c r="C257" s="396" t="s">
        <v>1291</v>
      </c>
      <c r="D257" s="396" t="s">
        <v>1105</v>
      </c>
      <c r="E257" s="396" t="s">
        <v>1438</v>
      </c>
      <c r="F257" s="397" t="s">
        <v>554</v>
      </c>
      <c r="G257" s="443">
        <v>515</v>
      </c>
      <c r="H257" s="443">
        <v>171</v>
      </c>
      <c r="J257" s="443">
        <v>28.6</v>
      </c>
      <c r="K257" s="475">
        <f t="shared" si="26"/>
        <v>5.553398058252427</v>
      </c>
      <c r="L257" s="475">
        <f t="shared" si="27"/>
        <v>16.72514619883041</v>
      </c>
    </row>
    <row r="258" spans="1:12" ht="36">
      <c r="A258" s="395" t="s">
        <v>1439</v>
      </c>
      <c r="B258" s="52" t="s">
        <v>1319</v>
      </c>
      <c r="C258" s="396" t="s">
        <v>1291</v>
      </c>
      <c r="D258" s="396" t="s">
        <v>1105</v>
      </c>
      <c r="E258" s="53" t="s">
        <v>1440</v>
      </c>
      <c r="F258" s="329"/>
      <c r="G258" s="436">
        <f>G259</f>
        <v>68699.5</v>
      </c>
      <c r="H258" s="436">
        <f>H259</f>
        <v>89685.7</v>
      </c>
      <c r="J258" s="436">
        <f>J259</f>
        <v>89581</v>
      </c>
      <c r="K258" s="475">
        <f>J258/G258*100</f>
        <v>130.39541772501983</v>
      </c>
      <c r="L258" s="475">
        <f t="shared" si="27"/>
        <v>99.88325898108617</v>
      </c>
    </row>
    <row r="259" spans="1:12" ht="24">
      <c r="A259" s="62" t="s">
        <v>139</v>
      </c>
      <c r="B259" s="52" t="s">
        <v>1319</v>
      </c>
      <c r="C259" s="53" t="s">
        <v>1441</v>
      </c>
      <c r="D259" s="53" t="s">
        <v>1105</v>
      </c>
      <c r="E259" s="53" t="s">
        <v>1442</v>
      </c>
      <c r="F259" s="329" t="s">
        <v>1454</v>
      </c>
      <c r="G259" s="436">
        <f>G260</f>
        <v>68699.5</v>
      </c>
      <c r="H259" s="436">
        <f>H260</f>
        <v>89685.7</v>
      </c>
      <c r="J259" s="436">
        <f>J260</f>
        <v>89581</v>
      </c>
      <c r="K259" s="475">
        <f>J259/G259*100</f>
        <v>130.39541772501983</v>
      </c>
      <c r="L259" s="475">
        <f t="shared" si="27"/>
        <v>99.88325898108617</v>
      </c>
    </row>
    <row r="260" spans="1:12" ht="24">
      <c r="A260" s="395" t="s">
        <v>141</v>
      </c>
      <c r="B260" s="52" t="s">
        <v>1319</v>
      </c>
      <c r="C260" s="53" t="s">
        <v>1441</v>
      </c>
      <c r="D260" s="53" t="s">
        <v>1105</v>
      </c>
      <c r="E260" s="53" t="s">
        <v>1442</v>
      </c>
      <c r="F260" s="329" t="s">
        <v>554</v>
      </c>
      <c r="G260" s="436">
        <v>68699.5</v>
      </c>
      <c r="H260" s="436">
        <f>H261+H262+H264+H263</f>
        <v>89685.7</v>
      </c>
      <c r="J260" s="436">
        <f>90.2+J261+J262+J264+J263</f>
        <v>89581</v>
      </c>
      <c r="K260" s="475">
        <f>J260/G260*100</f>
        <v>130.39541772501983</v>
      </c>
      <c r="L260" s="475">
        <f t="shared" si="27"/>
        <v>99.88325898108617</v>
      </c>
    </row>
    <row r="261" spans="1:12" ht="96">
      <c r="A261" s="395" t="s">
        <v>948</v>
      </c>
      <c r="B261" s="52" t="s">
        <v>1319</v>
      </c>
      <c r="C261" s="53" t="s">
        <v>1441</v>
      </c>
      <c r="D261" s="53" t="s">
        <v>1105</v>
      </c>
      <c r="E261" s="53" t="s">
        <v>1442</v>
      </c>
      <c r="F261" s="329" t="s">
        <v>554</v>
      </c>
      <c r="G261" s="437">
        <v>0</v>
      </c>
      <c r="H261" s="437">
        <f>68699.5+11568.1+232.9+2500+2610+621.9+532.2+699.8+1176.1+70.2-692.5+502.9-0.1+572.8-50-260-580</f>
        <v>88203.79999999999</v>
      </c>
      <c r="J261" s="437">
        <v>88184.4</v>
      </c>
      <c r="K261" s="475">
        <v>0</v>
      </c>
      <c r="L261" s="475">
        <f t="shared" si="27"/>
        <v>99.97800548275698</v>
      </c>
    </row>
    <row r="262" spans="1:12" ht="24">
      <c r="A262" s="395" t="s">
        <v>1445</v>
      </c>
      <c r="B262" s="52" t="s">
        <v>1319</v>
      </c>
      <c r="C262" s="53" t="s">
        <v>1441</v>
      </c>
      <c r="D262" s="53" t="s">
        <v>1105</v>
      </c>
      <c r="E262" s="53" t="s">
        <v>1442</v>
      </c>
      <c r="F262" s="329" t="s">
        <v>554</v>
      </c>
      <c r="G262" s="437">
        <v>0</v>
      </c>
      <c r="H262" s="437">
        <v>494.3</v>
      </c>
      <c r="J262" s="437">
        <v>494.3</v>
      </c>
      <c r="K262" s="475">
        <v>0</v>
      </c>
      <c r="L262" s="475">
        <f t="shared" si="27"/>
        <v>100</v>
      </c>
    </row>
    <row r="263" spans="1:12" ht="24">
      <c r="A263" s="395" t="s">
        <v>1446</v>
      </c>
      <c r="B263" s="52" t="s">
        <v>1319</v>
      </c>
      <c r="C263" s="53" t="s">
        <v>1291</v>
      </c>
      <c r="D263" s="53" t="s">
        <v>1105</v>
      </c>
      <c r="E263" s="53" t="s">
        <v>1442</v>
      </c>
      <c r="F263" s="329" t="s">
        <v>554</v>
      </c>
      <c r="G263" s="437">
        <v>0</v>
      </c>
      <c r="H263" s="437">
        <v>487.6</v>
      </c>
      <c r="J263" s="437">
        <v>323</v>
      </c>
      <c r="K263" s="475">
        <v>0</v>
      </c>
      <c r="L263" s="475">
        <f t="shared" si="27"/>
        <v>66.24282198523379</v>
      </c>
    </row>
    <row r="264" spans="1:12" ht="36">
      <c r="A264" s="395" t="s">
        <v>753</v>
      </c>
      <c r="B264" s="52" t="s">
        <v>1319</v>
      </c>
      <c r="C264" s="53" t="s">
        <v>1291</v>
      </c>
      <c r="D264" s="53" t="s">
        <v>1105</v>
      </c>
      <c r="E264" s="53" t="s">
        <v>1442</v>
      </c>
      <c r="F264" s="329" t="s">
        <v>554</v>
      </c>
      <c r="G264" s="437">
        <v>0</v>
      </c>
      <c r="H264" s="437">
        <v>500</v>
      </c>
      <c r="J264" s="437">
        <v>489.1</v>
      </c>
      <c r="K264" s="475">
        <v>0</v>
      </c>
      <c r="L264" s="475">
        <f t="shared" si="27"/>
        <v>97.82000000000001</v>
      </c>
    </row>
    <row r="265" spans="1:12" ht="15.75">
      <c r="A265" s="71" t="s">
        <v>796</v>
      </c>
      <c r="B265" s="52" t="s">
        <v>1319</v>
      </c>
      <c r="C265" s="55" t="s">
        <v>1291</v>
      </c>
      <c r="D265" s="55" t="s">
        <v>1106</v>
      </c>
      <c r="E265" s="55"/>
      <c r="F265" s="55"/>
      <c r="G265" s="436">
        <f>G266+G289</f>
        <v>94306.5</v>
      </c>
      <c r="H265" s="436">
        <f>H266+H289</f>
        <v>89493.1</v>
      </c>
      <c r="J265" s="436">
        <f>J266+J289</f>
        <v>76909.8</v>
      </c>
      <c r="K265" s="460">
        <f>J265/G265*100</f>
        <v>81.55302126576642</v>
      </c>
      <c r="L265" s="460">
        <f t="shared" si="27"/>
        <v>85.9393629229516</v>
      </c>
    </row>
    <row r="266" spans="1:12" ht="24">
      <c r="A266" s="72" t="s">
        <v>1430</v>
      </c>
      <c r="B266" s="52" t="s">
        <v>1319</v>
      </c>
      <c r="C266" s="55" t="s">
        <v>1291</v>
      </c>
      <c r="D266" s="55" t="s">
        <v>1106</v>
      </c>
      <c r="E266" s="55" t="s">
        <v>1431</v>
      </c>
      <c r="F266" s="55"/>
      <c r="G266" s="436">
        <f>G267+G279</f>
        <v>94306.5</v>
      </c>
      <c r="H266" s="436">
        <f>H267+H279</f>
        <v>88943.1</v>
      </c>
      <c r="J266" s="436">
        <f>J267+J279</f>
        <v>76439.6</v>
      </c>
      <c r="K266" s="460">
        <f>J266/G266*100</f>
        <v>81.05443421185178</v>
      </c>
      <c r="L266" s="460">
        <f t="shared" si="27"/>
        <v>85.94213603978274</v>
      </c>
    </row>
    <row r="267" spans="1:12" ht="24">
      <c r="A267" s="57" t="s">
        <v>754</v>
      </c>
      <c r="B267" s="52" t="s">
        <v>1319</v>
      </c>
      <c r="C267" s="55" t="s">
        <v>1291</v>
      </c>
      <c r="D267" s="55" t="s">
        <v>1106</v>
      </c>
      <c r="E267" s="55" t="s">
        <v>755</v>
      </c>
      <c r="F267" s="55"/>
      <c r="G267" s="436">
        <f>G268+G272+G276</f>
        <v>72988</v>
      </c>
      <c r="H267" s="436">
        <f>H268+H272+H276</f>
        <v>64319.5</v>
      </c>
      <c r="J267" s="436">
        <f>J268+J272+J276</f>
        <v>51881.5</v>
      </c>
      <c r="K267" s="475">
        <f>J267/G267*100</f>
        <v>71.0822326957856</v>
      </c>
      <c r="L267" s="475">
        <f t="shared" si="27"/>
        <v>80.66216310761122</v>
      </c>
    </row>
    <row r="268" spans="1:12" ht="24">
      <c r="A268" s="62" t="s">
        <v>139</v>
      </c>
      <c r="B268" s="52" t="s">
        <v>1319</v>
      </c>
      <c r="C268" s="55" t="s">
        <v>1291</v>
      </c>
      <c r="D268" s="55" t="s">
        <v>1106</v>
      </c>
      <c r="E268" s="55" t="s">
        <v>756</v>
      </c>
      <c r="F268" s="55" t="s">
        <v>1454</v>
      </c>
      <c r="G268" s="436">
        <f>G269+G271</f>
        <v>15554</v>
      </c>
      <c r="H268" s="436">
        <f>H269+H271</f>
        <v>15305.5</v>
      </c>
      <c r="J268" s="436">
        <f>J269+J271</f>
        <v>14911.7</v>
      </c>
      <c r="K268" s="475">
        <f>J268/G268*100</f>
        <v>95.87051562299087</v>
      </c>
      <c r="L268" s="475">
        <f t="shared" si="27"/>
        <v>97.42706870079384</v>
      </c>
    </row>
    <row r="269" spans="1:12" ht="24">
      <c r="A269" s="234" t="s">
        <v>512</v>
      </c>
      <c r="B269" s="52" t="s">
        <v>1319</v>
      </c>
      <c r="C269" s="55" t="s">
        <v>1291</v>
      </c>
      <c r="D269" s="55" t="s">
        <v>1106</v>
      </c>
      <c r="E269" s="55" t="s">
        <v>756</v>
      </c>
      <c r="F269" s="55" t="s">
        <v>554</v>
      </c>
      <c r="G269" s="437">
        <v>15554</v>
      </c>
      <c r="H269" s="437">
        <f>9731+H270-117-45-1700</f>
        <v>8415</v>
      </c>
      <c r="J269" s="437">
        <v>8030.6</v>
      </c>
      <c r="K269" s="475">
        <f>J269/G269*100</f>
        <v>51.63044875916163</v>
      </c>
      <c r="L269" s="475">
        <f t="shared" si="27"/>
        <v>95.43196672608438</v>
      </c>
    </row>
    <row r="270" spans="1:12" ht="24">
      <c r="A270" s="234" t="s">
        <v>757</v>
      </c>
      <c r="B270" s="52" t="s">
        <v>1319</v>
      </c>
      <c r="C270" s="55" t="s">
        <v>1291</v>
      </c>
      <c r="D270" s="55" t="s">
        <v>1106</v>
      </c>
      <c r="E270" s="55" t="s">
        <v>756</v>
      </c>
      <c r="F270" s="55" t="s">
        <v>554</v>
      </c>
      <c r="G270" s="437">
        <v>0</v>
      </c>
      <c r="H270" s="437">
        <f>600-54</f>
        <v>546</v>
      </c>
      <c r="J270" s="437">
        <v>473.1</v>
      </c>
      <c r="K270" s="475">
        <v>0</v>
      </c>
      <c r="L270" s="475">
        <f t="shared" si="27"/>
        <v>86.64835164835165</v>
      </c>
    </row>
    <row r="271" spans="1:12" ht="24">
      <c r="A271" s="57" t="s">
        <v>447</v>
      </c>
      <c r="B271" s="52" t="s">
        <v>1319</v>
      </c>
      <c r="C271" s="55" t="s">
        <v>1291</v>
      </c>
      <c r="D271" s="55" t="s">
        <v>1106</v>
      </c>
      <c r="E271" s="55" t="s">
        <v>756</v>
      </c>
      <c r="F271" s="55" t="s">
        <v>446</v>
      </c>
      <c r="G271" s="437">
        <v>0</v>
      </c>
      <c r="H271" s="437">
        <f>5823+117+950.5</f>
        <v>6890.5</v>
      </c>
      <c r="J271" s="437">
        <v>6881.1</v>
      </c>
      <c r="K271" s="475">
        <v>0</v>
      </c>
      <c r="L271" s="475">
        <f t="shared" si="27"/>
        <v>99.86358029170597</v>
      </c>
    </row>
    <row r="272" spans="1:12" ht="32.25" customHeight="1">
      <c r="A272" s="57" t="s">
        <v>1435</v>
      </c>
      <c r="B272" s="52" t="s">
        <v>1319</v>
      </c>
      <c r="C272" s="55" t="s">
        <v>1291</v>
      </c>
      <c r="D272" s="55" t="s">
        <v>1106</v>
      </c>
      <c r="E272" s="55" t="s">
        <v>758</v>
      </c>
      <c r="F272" s="55" t="s">
        <v>920</v>
      </c>
      <c r="G272" s="436">
        <f>G273</f>
        <v>33349</v>
      </c>
      <c r="H272" s="436">
        <f>H273</f>
        <v>24364</v>
      </c>
      <c r="J272" s="436">
        <f>J273</f>
        <v>14138.8</v>
      </c>
      <c r="K272" s="475">
        <f>J272/G272*100</f>
        <v>42.39647365738103</v>
      </c>
      <c r="L272" s="475">
        <f t="shared" si="27"/>
        <v>58.03152191758332</v>
      </c>
    </row>
    <row r="273" spans="1:12" ht="32.25" customHeight="1">
      <c r="A273" s="62" t="s">
        <v>139</v>
      </c>
      <c r="B273" s="52" t="s">
        <v>1319</v>
      </c>
      <c r="C273" s="55" t="s">
        <v>1291</v>
      </c>
      <c r="D273" s="55" t="s">
        <v>1106</v>
      </c>
      <c r="E273" s="55" t="s">
        <v>758</v>
      </c>
      <c r="F273" s="55" t="s">
        <v>1454</v>
      </c>
      <c r="G273" s="436">
        <f>G274+G275</f>
        <v>33349</v>
      </c>
      <c r="H273" s="436">
        <f>H274+H275</f>
        <v>24364</v>
      </c>
      <c r="J273" s="436">
        <f>J274+J275</f>
        <v>14138.8</v>
      </c>
      <c r="K273" s="475">
        <f>J273/G273*100</f>
        <v>42.39647365738103</v>
      </c>
      <c r="L273" s="475">
        <f t="shared" si="27"/>
        <v>58.03152191758332</v>
      </c>
    </row>
    <row r="274" spans="1:12" ht="22.5" customHeight="1">
      <c r="A274" s="57" t="s">
        <v>1355</v>
      </c>
      <c r="B274" s="52" t="s">
        <v>1319</v>
      </c>
      <c r="C274" s="55" t="s">
        <v>1291</v>
      </c>
      <c r="D274" s="55" t="s">
        <v>1106</v>
      </c>
      <c r="E274" s="55" t="s">
        <v>758</v>
      </c>
      <c r="F274" s="55" t="s">
        <v>554</v>
      </c>
      <c r="G274" s="437">
        <v>33349</v>
      </c>
      <c r="H274" s="437">
        <f>32449-1159+891-7717-1000-200+200</f>
        <v>23464</v>
      </c>
      <c r="J274" s="437">
        <v>13283.9</v>
      </c>
      <c r="K274" s="475">
        <f>J274/G274*100</f>
        <v>39.83297850010495</v>
      </c>
      <c r="L274" s="475">
        <f aca="true" t="shared" si="28" ref="L274:L296">J274/H274*100</f>
        <v>56.61396181384249</v>
      </c>
    </row>
    <row r="275" spans="1:12" ht="24">
      <c r="A275" s="57" t="s">
        <v>447</v>
      </c>
      <c r="B275" s="52" t="s">
        <v>1319</v>
      </c>
      <c r="C275" s="55" t="s">
        <v>1291</v>
      </c>
      <c r="D275" s="55" t="s">
        <v>1106</v>
      </c>
      <c r="E275" s="55" t="s">
        <v>758</v>
      </c>
      <c r="F275" s="55" t="s">
        <v>446</v>
      </c>
      <c r="G275" s="437">
        <v>0</v>
      </c>
      <c r="H275" s="437">
        <v>900</v>
      </c>
      <c r="J275" s="437">
        <v>854.9</v>
      </c>
      <c r="K275" s="475">
        <v>0</v>
      </c>
      <c r="L275" s="475">
        <f t="shared" si="28"/>
        <v>94.9888888888889</v>
      </c>
    </row>
    <row r="276" spans="1:12" ht="48">
      <c r="A276" s="57" t="s">
        <v>1437</v>
      </c>
      <c r="B276" s="52" t="s">
        <v>1319</v>
      </c>
      <c r="C276" s="55" t="s">
        <v>1291</v>
      </c>
      <c r="D276" s="55" t="s">
        <v>1106</v>
      </c>
      <c r="E276" s="55" t="s">
        <v>759</v>
      </c>
      <c r="F276" s="55" t="s">
        <v>920</v>
      </c>
      <c r="G276" s="436">
        <f>G277</f>
        <v>24085</v>
      </c>
      <c r="H276" s="436">
        <f>H277</f>
        <v>24650</v>
      </c>
      <c r="J276" s="436">
        <f>J277</f>
        <v>22831</v>
      </c>
      <c r="K276" s="475">
        <f aca="true" t="shared" si="29" ref="K276:K281">J276/G276*100</f>
        <v>94.79343990035292</v>
      </c>
      <c r="L276" s="475">
        <f t="shared" si="28"/>
        <v>92.62068965517241</v>
      </c>
    </row>
    <row r="277" spans="1:12" ht="24">
      <c r="A277" s="62" t="s">
        <v>139</v>
      </c>
      <c r="B277" s="52" t="s">
        <v>1319</v>
      </c>
      <c r="C277" s="55" t="s">
        <v>1291</v>
      </c>
      <c r="D277" s="55" t="s">
        <v>1106</v>
      </c>
      <c r="E277" s="55" t="s">
        <v>759</v>
      </c>
      <c r="F277" s="55" t="s">
        <v>1454</v>
      </c>
      <c r="G277" s="436">
        <f>G278</f>
        <v>24085</v>
      </c>
      <c r="H277" s="436">
        <f>H278</f>
        <v>24650</v>
      </c>
      <c r="J277" s="436">
        <f>J278</f>
        <v>22831</v>
      </c>
      <c r="K277" s="475">
        <f t="shared" si="29"/>
        <v>94.79343990035292</v>
      </c>
      <c r="L277" s="475">
        <f t="shared" si="28"/>
        <v>92.62068965517241</v>
      </c>
    </row>
    <row r="278" spans="1:12" ht="24">
      <c r="A278" s="234" t="s">
        <v>1355</v>
      </c>
      <c r="B278" s="52" t="s">
        <v>1319</v>
      </c>
      <c r="C278" s="55" t="s">
        <v>1291</v>
      </c>
      <c r="D278" s="55" t="s">
        <v>1106</v>
      </c>
      <c r="E278" s="55" t="s">
        <v>759</v>
      </c>
      <c r="F278" s="55" t="s">
        <v>554</v>
      </c>
      <c r="G278" s="437">
        <f>24085</f>
        <v>24085</v>
      </c>
      <c r="H278" s="437">
        <v>24650</v>
      </c>
      <c r="J278" s="437">
        <v>22831</v>
      </c>
      <c r="K278" s="475">
        <f t="shared" si="29"/>
        <v>94.79343990035292</v>
      </c>
      <c r="L278" s="475">
        <f t="shared" si="28"/>
        <v>92.62068965517241</v>
      </c>
    </row>
    <row r="279" spans="1:12" ht="36">
      <c r="A279" s="57" t="s">
        <v>1439</v>
      </c>
      <c r="B279" s="52" t="s">
        <v>1319</v>
      </c>
      <c r="C279" s="55" t="s">
        <v>1291</v>
      </c>
      <c r="D279" s="55" t="s">
        <v>1106</v>
      </c>
      <c r="E279" s="55" t="s">
        <v>1440</v>
      </c>
      <c r="F279" s="55"/>
      <c r="G279" s="436">
        <f>G280</f>
        <v>21318.5</v>
      </c>
      <c r="H279" s="436">
        <f>H280</f>
        <v>24623.600000000002</v>
      </c>
      <c r="J279" s="436">
        <f>J280</f>
        <v>24558.100000000002</v>
      </c>
      <c r="K279" s="475">
        <f t="shared" si="29"/>
        <v>115.19619110162536</v>
      </c>
      <c r="L279" s="475">
        <f t="shared" si="28"/>
        <v>99.73399502915902</v>
      </c>
    </row>
    <row r="280" spans="1:12" ht="24">
      <c r="A280" s="62" t="s">
        <v>139</v>
      </c>
      <c r="B280" s="52" t="s">
        <v>1319</v>
      </c>
      <c r="C280" s="55" t="s">
        <v>1291</v>
      </c>
      <c r="D280" s="55" t="s">
        <v>1106</v>
      </c>
      <c r="E280" s="55" t="s">
        <v>1442</v>
      </c>
      <c r="F280" s="55" t="s">
        <v>1454</v>
      </c>
      <c r="G280" s="436">
        <f>G281+G287</f>
        <v>21318.5</v>
      </c>
      <c r="H280" s="436">
        <f>H281+H287</f>
        <v>24623.600000000002</v>
      </c>
      <c r="J280" s="436">
        <f>J281+J287</f>
        <v>24558.100000000002</v>
      </c>
      <c r="K280" s="475">
        <f t="shared" si="29"/>
        <v>115.19619110162536</v>
      </c>
      <c r="L280" s="475">
        <f t="shared" si="28"/>
        <v>99.73399502915902</v>
      </c>
    </row>
    <row r="281" spans="1:12" ht="24">
      <c r="A281" s="57" t="s">
        <v>141</v>
      </c>
      <c r="B281" s="52" t="s">
        <v>1319</v>
      </c>
      <c r="C281" s="55" t="s">
        <v>1291</v>
      </c>
      <c r="D281" s="55" t="s">
        <v>1106</v>
      </c>
      <c r="E281" s="55" t="s">
        <v>1442</v>
      </c>
      <c r="F281" s="55" t="s">
        <v>554</v>
      </c>
      <c r="G281" s="437">
        <v>21318.5</v>
      </c>
      <c r="H281" s="437">
        <f>H282+H283+H286+H284+H285</f>
        <v>24434.800000000003</v>
      </c>
      <c r="I281" s="437">
        <f>I282+I283+I286+I284+I285</f>
        <v>0</v>
      </c>
      <c r="J281" s="437">
        <f>J282+J283+J286+J284+J285</f>
        <v>24371.800000000003</v>
      </c>
      <c r="K281" s="475">
        <f t="shared" si="29"/>
        <v>114.32230222576636</v>
      </c>
      <c r="L281" s="475">
        <f t="shared" si="28"/>
        <v>99.74217100201352</v>
      </c>
    </row>
    <row r="282" spans="1:12" ht="108">
      <c r="A282" s="395" t="s">
        <v>0</v>
      </c>
      <c r="B282" s="52" t="s">
        <v>1319</v>
      </c>
      <c r="C282" s="55" t="s">
        <v>1291</v>
      </c>
      <c r="D282" s="55" t="s">
        <v>1106</v>
      </c>
      <c r="E282" s="55" t="s">
        <v>1442</v>
      </c>
      <c r="F282" s="55" t="s">
        <v>554</v>
      </c>
      <c r="G282" s="437">
        <v>0</v>
      </c>
      <c r="H282" s="437">
        <f>21318.5+305.9+4580.8+2141.1+111.3-1265.4-699.8-1364.8+118.5+0.2+50-30-1100-0.1</f>
        <v>24166.2</v>
      </c>
      <c r="J282" s="437">
        <v>24103.2</v>
      </c>
      <c r="K282" s="475">
        <v>0</v>
      </c>
      <c r="L282" s="475">
        <f t="shared" si="28"/>
        <v>99.73930531072324</v>
      </c>
    </row>
    <row r="283" spans="1:12" ht="24">
      <c r="A283" s="395" t="s">
        <v>1</v>
      </c>
      <c r="B283" s="52" t="s">
        <v>1319</v>
      </c>
      <c r="C283" s="55" t="s">
        <v>1291</v>
      </c>
      <c r="D283" s="55" t="s">
        <v>1106</v>
      </c>
      <c r="E283" s="55" t="s">
        <v>1442</v>
      </c>
      <c r="F283" s="55" t="s">
        <v>554</v>
      </c>
      <c r="G283" s="437">
        <v>0</v>
      </c>
      <c r="H283" s="437">
        <v>54</v>
      </c>
      <c r="J283" s="437">
        <v>54</v>
      </c>
      <c r="K283" s="475">
        <v>0</v>
      </c>
      <c r="L283" s="475">
        <f t="shared" si="28"/>
        <v>100</v>
      </c>
    </row>
    <row r="284" spans="1:12" ht="24">
      <c r="A284" s="395" t="s">
        <v>2</v>
      </c>
      <c r="B284" s="52" t="s">
        <v>1319</v>
      </c>
      <c r="C284" s="55" t="s">
        <v>1291</v>
      </c>
      <c r="D284" s="55" t="s">
        <v>1106</v>
      </c>
      <c r="E284" s="55" t="s">
        <v>1442</v>
      </c>
      <c r="F284" s="55" t="s">
        <v>554</v>
      </c>
      <c r="G284" s="437">
        <v>0</v>
      </c>
      <c r="H284" s="437">
        <v>90.9</v>
      </c>
      <c r="J284" s="437">
        <v>90.9</v>
      </c>
      <c r="K284" s="475">
        <v>0</v>
      </c>
      <c r="L284" s="475">
        <f t="shared" si="28"/>
        <v>100</v>
      </c>
    </row>
    <row r="285" spans="1:12" ht="30.75" customHeight="1">
      <c r="A285" s="395" t="s">
        <v>3</v>
      </c>
      <c r="B285" s="52" t="s">
        <v>1319</v>
      </c>
      <c r="C285" s="55" t="s">
        <v>1291</v>
      </c>
      <c r="D285" s="55" t="s">
        <v>1106</v>
      </c>
      <c r="E285" s="55" t="s">
        <v>1442</v>
      </c>
      <c r="F285" s="55" t="s">
        <v>554</v>
      </c>
      <c r="G285" s="437">
        <v>0</v>
      </c>
      <c r="H285" s="437">
        <v>98.7</v>
      </c>
      <c r="J285" s="437">
        <v>98.7</v>
      </c>
      <c r="K285" s="475">
        <v>0</v>
      </c>
      <c r="L285" s="475">
        <f t="shared" si="28"/>
        <v>100</v>
      </c>
    </row>
    <row r="286" spans="1:12" ht="21.75" customHeight="1">
      <c r="A286" s="395" t="s">
        <v>466</v>
      </c>
      <c r="B286" s="52" t="s">
        <v>1319</v>
      </c>
      <c r="C286" s="55" t="s">
        <v>1291</v>
      </c>
      <c r="D286" s="55" t="s">
        <v>1106</v>
      </c>
      <c r="E286" s="55" t="s">
        <v>1442</v>
      </c>
      <c r="F286" s="55" t="s">
        <v>554</v>
      </c>
      <c r="G286" s="437">
        <v>0</v>
      </c>
      <c r="H286" s="437">
        <v>25</v>
      </c>
      <c r="J286" s="437">
        <v>25</v>
      </c>
      <c r="K286" s="475">
        <v>0</v>
      </c>
      <c r="L286" s="475">
        <f t="shared" si="28"/>
        <v>100</v>
      </c>
    </row>
    <row r="287" spans="1:12" ht="24">
      <c r="A287" s="395" t="s">
        <v>1237</v>
      </c>
      <c r="B287" s="52" t="s">
        <v>1319</v>
      </c>
      <c r="C287" s="55" t="s">
        <v>1291</v>
      </c>
      <c r="D287" s="55" t="s">
        <v>1106</v>
      </c>
      <c r="E287" s="55" t="s">
        <v>1442</v>
      </c>
      <c r="F287" s="55" t="s">
        <v>446</v>
      </c>
      <c r="G287" s="437">
        <f>G288</f>
        <v>0</v>
      </c>
      <c r="H287" s="437">
        <f>H288</f>
        <v>188.8</v>
      </c>
      <c r="J287" s="437">
        <f>J288</f>
        <v>186.3</v>
      </c>
      <c r="K287" s="475">
        <v>0</v>
      </c>
      <c r="L287" s="475">
        <f t="shared" si="28"/>
        <v>98.67584745762711</v>
      </c>
    </row>
    <row r="288" spans="1:12" ht="24">
      <c r="A288" s="395" t="s">
        <v>1268</v>
      </c>
      <c r="B288" s="52" t="s">
        <v>1319</v>
      </c>
      <c r="C288" s="55" t="s">
        <v>1291</v>
      </c>
      <c r="D288" s="55" t="s">
        <v>1106</v>
      </c>
      <c r="E288" s="55" t="s">
        <v>1442</v>
      </c>
      <c r="F288" s="55" t="s">
        <v>446</v>
      </c>
      <c r="G288" s="437">
        <v>0</v>
      </c>
      <c r="H288" s="437">
        <v>188.8</v>
      </c>
      <c r="J288" s="437">
        <v>186.3</v>
      </c>
      <c r="K288" s="475">
        <v>0</v>
      </c>
      <c r="L288" s="475">
        <f t="shared" si="28"/>
        <v>98.67584745762711</v>
      </c>
    </row>
    <row r="289" spans="1:12" ht="48">
      <c r="A289" s="395" t="s">
        <v>1054</v>
      </c>
      <c r="B289" s="52" t="s">
        <v>1319</v>
      </c>
      <c r="C289" s="55" t="s">
        <v>1291</v>
      </c>
      <c r="D289" s="55" t="s">
        <v>1106</v>
      </c>
      <c r="E289" s="55" t="s">
        <v>1055</v>
      </c>
      <c r="F289" s="55"/>
      <c r="G289" s="436">
        <f>G290</f>
        <v>0</v>
      </c>
      <c r="H289" s="436">
        <f>H290</f>
        <v>550</v>
      </c>
      <c r="J289" s="436">
        <f>J290</f>
        <v>470.2</v>
      </c>
      <c r="K289" s="475">
        <v>0</v>
      </c>
      <c r="L289" s="475">
        <f t="shared" si="28"/>
        <v>85.49090909090908</v>
      </c>
    </row>
    <row r="290" spans="1:12" ht="24">
      <c r="A290" s="62" t="s">
        <v>139</v>
      </c>
      <c r="B290" s="52" t="s">
        <v>1319</v>
      </c>
      <c r="C290" s="55" t="s">
        <v>1291</v>
      </c>
      <c r="D290" s="55" t="s">
        <v>1106</v>
      </c>
      <c r="E290" s="55" t="s">
        <v>1055</v>
      </c>
      <c r="F290" s="55" t="s">
        <v>1454</v>
      </c>
      <c r="G290" s="436">
        <f>G291</f>
        <v>0</v>
      </c>
      <c r="H290" s="436">
        <f>H291</f>
        <v>550</v>
      </c>
      <c r="J290" s="436">
        <f>J291</f>
        <v>470.2</v>
      </c>
      <c r="K290" s="475">
        <v>0</v>
      </c>
      <c r="L290" s="475">
        <f t="shared" si="28"/>
        <v>85.49090909090908</v>
      </c>
    </row>
    <row r="291" spans="1:12" ht="24">
      <c r="A291" s="57" t="s">
        <v>1355</v>
      </c>
      <c r="B291" s="52" t="s">
        <v>1319</v>
      </c>
      <c r="C291" s="55" t="s">
        <v>1291</v>
      </c>
      <c r="D291" s="55" t="s">
        <v>1106</v>
      </c>
      <c r="E291" s="55" t="s">
        <v>1055</v>
      </c>
      <c r="F291" s="55" t="s">
        <v>554</v>
      </c>
      <c r="G291" s="437">
        <v>0</v>
      </c>
      <c r="H291" s="437">
        <v>550</v>
      </c>
      <c r="J291" s="437">
        <v>470.2</v>
      </c>
      <c r="K291" s="475">
        <v>0</v>
      </c>
      <c r="L291" s="475">
        <f t="shared" si="28"/>
        <v>85.49090909090908</v>
      </c>
    </row>
    <row r="292" spans="1:12" ht="15.75">
      <c r="A292" s="71" t="s">
        <v>797</v>
      </c>
      <c r="B292" s="52" t="s">
        <v>1319</v>
      </c>
      <c r="C292" s="55" t="s">
        <v>1291</v>
      </c>
      <c r="D292" s="55" t="s">
        <v>530</v>
      </c>
      <c r="E292" s="55"/>
      <c r="F292" s="55"/>
      <c r="G292" s="436">
        <f>G293</f>
        <v>28</v>
      </c>
      <c r="H292" s="436">
        <f>H293</f>
        <v>73</v>
      </c>
      <c r="J292" s="436">
        <f>J293</f>
        <v>73</v>
      </c>
      <c r="K292" s="460">
        <f aca="true" t="shared" si="30" ref="K292:K301">J292/G292*100</f>
        <v>260.7142857142857</v>
      </c>
      <c r="L292" s="460">
        <f t="shared" si="28"/>
        <v>100</v>
      </c>
    </row>
    <row r="293" spans="1:12" ht="24">
      <c r="A293" s="72" t="s">
        <v>1430</v>
      </c>
      <c r="B293" s="52" t="s">
        <v>1319</v>
      </c>
      <c r="C293" s="53" t="s">
        <v>1291</v>
      </c>
      <c r="D293" s="53" t="s">
        <v>530</v>
      </c>
      <c r="E293" s="53" t="s">
        <v>1431</v>
      </c>
      <c r="F293" s="53"/>
      <c r="G293" s="436">
        <f>G296</f>
        <v>28</v>
      </c>
      <c r="H293" s="436">
        <f>H296</f>
        <v>73</v>
      </c>
      <c r="J293" s="436">
        <f>J296</f>
        <v>73</v>
      </c>
      <c r="K293" s="460">
        <f t="shared" si="30"/>
        <v>260.7142857142857</v>
      </c>
      <c r="L293" s="460">
        <f t="shared" si="28"/>
        <v>100</v>
      </c>
    </row>
    <row r="294" spans="1:12" ht="24">
      <c r="A294" s="62" t="s">
        <v>754</v>
      </c>
      <c r="B294" s="52" t="s">
        <v>1319</v>
      </c>
      <c r="C294" s="53" t="s">
        <v>1291</v>
      </c>
      <c r="D294" s="53" t="s">
        <v>530</v>
      </c>
      <c r="E294" s="53" t="s">
        <v>755</v>
      </c>
      <c r="F294" s="53"/>
      <c r="G294" s="436">
        <f>G295</f>
        <v>28</v>
      </c>
      <c r="H294" s="436">
        <f>H295</f>
        <v>73</v>
      </c>
      <c r="J294" s="436">
        <f>J295</f>
        <v>73</v>
      </c>
      <c r="K294" s="475">
        <f t="shared" si="30"/>
        <v>260.7142857142857</v>
      </c>
      <c r="L294" s="475">
        <f t="shared" si="28"/>
        <v>100</v>
      </c>
    </row>
    <row r="295" spans="1:12" ht="24">
      <c r="A295" s="62" t="s">
        <v>139</v>
      </c>
      <c r="B295" s="52" t="s">
        <v>1319</v>
      </c>
      <c r="C295" s="55" t="s">
        <v>1291</v>
      </c>
      <c r="D295" s="55" t="s">
        <v>530</v>
      </c>
      <c r="E295" s="53" t="s">
        <v>4</v>
      </c>
      <c r="F295" s="53" t="s">
        <v>1454</v>
      </c>
      <c r="G295" s="436">
        <f>G296</f>
        <v>28</v>
      </c>
      <c r="H295" s="436">
        <f>H296</f>
        <v>73</v>
      </c>
      <c r="J295" s="436">
        <f>J296</f>
        <v>73</v>
      </c>
      <c r="K295" s="475">
        <f t="shared" si="30"/>
        <v>260.7142857142857</v>
      </c>
      <c r="L295" s="475">
        <f t="shared" si="28"/>
        <v>100</v>
      </c>
    </row>
    <row r="296" spans="1:12" ht="24">
      <c r="A296" s="57" t="s">
        <v>1355</v>
      </c>
      <c r="B296" s="52" t="s">
        <v>1319</v>
      </c>
      <c r="C296" s="55" t="s">
        <v>1291</v>
      </c>
      <c r="D296" s="55" t="s">
        <v>530</v>
      </c>
      <c r="E296" s="53" t="s">
        <v>4</v>
      </c>
      <c r="F296" s="55" t="s">
        <v>554</v>
      </c>
      <c r="G296" s="437">
        <f>35-7</f>
        <v>28</v>
      </c>
      <c r="H296" s="437">
        <f>35-7+45</f>
        <v>73</v>
      </c>
      <c r="J296" s="437">
        <f>35-7+45</f>
        <v>73</v>
      </c>
      <c r="K296" s="475">
        <f t="shared" si="30"/>
        <v>260.7142857142857</v>
      </c>
      <c r="L296" s="475">
        <f t="shared" si="28"/>
        <v>100</v>
      </c>
    </row>
    <row r="297" spans="1:12" ht="15.75">
      <c r="A297" s="71" t="s">
        <v>798</v>
      </c>
      <c r="B297" s="52" t="s">
        <v>1319</v>
      </c>
      <c r="C297" s="55" t="s">
        <v>1291</v>
      </c>
      <c r="D297" s="55" t="s">
        <v>1151</v>
      </c>
      <c r="E297" s="55"/>
      <c r="F297" s="55"/>
      <c r="G297" s="436">
        <f>G298</f>
        <v>370</v>
      </c>
      <c r="H297" s="436">
        <f>H298</f>
        <v>5115.900000000001</v>
      </c>
      <c r="J297" s="436">
        <f>J298</f>
        <v>5094.5</v>
      </c>
      <c r="K297" s="460">
        <f t="shared" si="30"/>
        <v>1376.8918918918919</v>
      </c>
      <c r="L297" s="460">
        <f aca="true" t="shared" si="31" ref="L297:L313">J297/H297*100</f>
        <v>99.58169628022439</v>
      </c>
    </row>
    <row r="298" spans="1:12" ht="24">
      <c r="A298" s="72" t="s">
        <v>1430</v>
      </c>
      <c r="B298" s="52" t="s">
        <v>1319</v>
      </c>
      <c r="C298" s="55" t="s">
        <v>1291</v>
      </c>
      <c r="D298" s="55" t="s">
        <v>1151</v>
      </c>
      <c r="E298" s="55" t="s">
        <v>1431</v>
      </c>
      <c r="F298" s="55"/>
      <c r="G298" s="436">
        <f>G299+G302</f>
        <v>370</v>
      </c>
      <c r="H298" s="436">
        <f>H299+H302</f>
        <v>5115.900000000001</v>
      </c>
      <c r="J298" s="436">
        <f>J299+J302</f>
        <v>5094.5</v>
      </c>
      <c r="K298" s="460">
        <f t="shared" si="30"/>
        <v>1376.8918918918919</v>
      </c>
      <c r="L298" s="460">
        <f t="shared" si="31"/>
        <v>99.58169628022439</v>
      </c>
    </row>
    <row r="299" spans="1:12" ht="48">
      <c r="A299" s="62" t="s">
        <v>1432</v>
      </c>
      <c r="B299" s="52" t="s">
        <v>1319</v>
      </c>
      <c r="C299" s="55" t="s">
        <v>1291</v>
      </c>
      <c r="D299" s="55" t="s">
        <v>1151</v>
      </c>
      <c r="E299" s="55" t="s">
        <v>1433</v>
      </c>
      <c r="F299" s="55"/>
      <c r="G299" s="436">
        <f>G300</f>
        <v>370</v>
      </c>
      <c r="H299" s="436">
        <f>H300</f>
        <v>5027.1</v>
      </c>
      <c r="J299" s="436">
        <f>J300</f>
        <v>5006.6</v>
      </c>
      <c r="K299" s="475">
        <f t="shared" si="30"/>
        <v>1353.1351351351352</v>
      </c>
      <c r="L299" s="475">
        <f t="shared" si="31"/>
        <v>99.59221022060433</v>
      </c>
    </row>
    <row r="300" spans="1:12" ht="24">
      <c r="A300" s="62" t="s">
        <v>139</v>
      </c>
      <c r="B300" s="52" t="s">
        <v>1319</v>
      </c>
      <c r="C300" s="55" t="s">
        <v>1291</v>
      </c>
      <c r="D300" s="55" t="s">
        <v>1151</v>
      </c>
      <c r="E300" s="55" t="s">
        <v>5</v>
      </c>
      <c r="F300" s="55" t="s">
        <v>1454</v>
      </c>
      <c r="G300" s="436">
        <f>G301</f>
        <v>370</v>
      </c>
      <c r="H300" s="436">
        <f>H301</f>
        <v>5027.1</v>
      </c>
      <c r="J300" s="436">
        <f>J301</f>
        <v>5006.6</v>
      </c>
      <c r="K300" s="475">
        <f t="shared" si="30"/>
        <v>1353.1351351351352</v>
      </c>
      <c r="L300" s="475">
        <f t="shared" si="31"/>
        <v>99.59221022060433</v>
      </c>
    </row>
    <row r="301" spans="1:12" ht="24">
      <c r="A301" s="57" t="s">
        <v>1355</v>
      </c>
      <c r="B301" s="52" t="s">
        <v>1319</v>
      </c>
      <c r="C301" s="55" t="s">
        <v>1291</v>
      </c>
      <c r="D301" s="55" t="s">
        <v>1151</v>
      </c>
      <c r="E301" s="55" t="s">
        <v>5</v>
      </c>
      <c r="F301" s="55" t="s">
        <v>554</v>
      </c>
      <c r="G301" s="437">
        <v>370</v>
      </c>
      <c r="H301" s="437">
        <f>471-101+797.1+3860</f>
        <v>5027.1</v>
      </c>
      <c r="J301" s="437">
        <v>5006.6</v>
      </c>
      <c r="K301" s="475">
        <f t="shared" si="30"/>
        <v>1353.1351351351352</v>
      </c>
      <c r="L301" s="475">
        <f t="shared" si="31"/>
        <v>99.59221022060433</v>
      </c>
    </row>
    <row r="302" spans="1:12" ht="36">
      <c r="A302" s="57" t="s">
        <v>1439</v>
      </c>
      <c r="B302" s="52" t="s">
        <v>1319</v>
      </c>
      <c r="C302" s="55" t="s">
        <v>1291</v>
      </c>
      <c r="D302" s="55" t="s">
        <v>1151</v>
      </c>
      <c r="E302" s="55" t="s">
        <v>1440</v>
      </c>
      <c r="F302" s="55"/>
      <c r="G302" s="436">
        <f aca="true" t="shared" si="32" ref="G302:H304">G303</f>
        <v>0</v>
      </c>
      <c r="H302" s="436">
        <f t="shared" si="32"/>
        <v>88.8</v>
      </c>
      <c r="J302" s="436">
        <f>J303</f>
        <v>87.9</v>
      </c>
      <c r="K302" s="475">
        <v>0</v>
      </c>
      <c r="L302" s="475">
        <f t="shared" si="31"/>
        <v>98.98648648648648</v>
      </c>
    </row>
    <row r="303" spans="1:12" ht="24">
      <c r="A303" s="62" t="s">
        <v>139</v>
      </c>
      <c r="B303" s="52" t="s">
        <v>1319</v>
      </c>
      <c r="C303" s="55" t="s">
        <v>1291</v>
      </c>
      <c r="D303" s="55" t="s">
        <v>1151</v>
      </c>
      <c r="E303" s="55" t="s">
        <v>1442</v>
      </c>
      <c r="F303" s="55" t="s">
        <v>1454</v>
      </c>
      <c r="G303" s="436">
        <f t="shared" si="32"/>
        <v>0</v>
      </c>
      <c r="H303" s="436">
        <f t="shared" si="32"/>
        <v>88.8</v>
      </c>
      <c r="J303" s="436">
        <f>J304</f>
        <v>87.9</v>
      </c>
      <c r="K303" s="475">
        <v>0</v>
      </c>
      <c r="L303" s="475">
        <f t="shared" si="31"/>
        <v>98.98648648648648</v>
      </c>
    </row>
    <row r="304" spans="1:12" ht="24">
      <c r="A304" s="57" t="s">
        <v>512</v>
      </c>
      <c r="B304" s="52" t="s">
        <v>1319</v>
      </c>
      <c r="C304" s="55" t="s">
        <v>1291</v>
      </c>
      <c r="D304" s="55" t="s">
        <v>1151</v>
      </c>
      <c r="E304" s="55" t="s">
        <v>1442</v>
      </c>
      <c r="F304" s="55" t="s">
        <v>554</v>
      </c>
      <c r="G304" s="436">
        <f t="shared" si="32"/>
        <v>0</v>
      </c>
      <c r="H304" s="436">
        <f t="shared" si="32"/>
        <v>88.8</v>
      </c>
      <c r="J304" s="436">
        <f>J305</f>
        <v>87.9</v>
      </c>
      <c r="K304" s="475">
        <v>0</v>
      </c>
      <c r="L304" s="475">
        <f t="shared" si="31"/>
        <v>98.98648648648648</v>
      </c>
    </row>
    <row r="305" spans="1:12" ht="48">
      <c r="A305" s="395" t="s">
        <v>6</v>
      </c>
      <c r="B305" s="52" t="s">
        <v>1319</v>
      </c>
      <c r="C305" s="55" t="s">
        <v>1291</v>
      </c>
      <c r="D305" s="55" t="s">
        <v>1151</v>
      </c>
      <c r="E305" s="55" t="s">
        <v>1442</v>
      </c>
      <c r="F305" s="55" t="s">
        <v>554</v>
      </c>
      <c r="G305" s="437">
        <v>0</v>
      </c>
      <c r="H305" s="437">
        <v>88.8</v>
      </c>
      <c r="J305" s="437">
        <v>87.9</v>
      </c>
      <c r="K305" s="475">
        <v>0</v>
      </c>
      <c r="L305" s="475">
        <f t="shared" si="31"/>
        <v>98.98648648648648</v>
      </c>
    </row>
    <row r="306" spans="1:12" ht="24">
      <c r="A306" s="71" t="s">
        <v>799</v>
      </c>
      <c r="B306" s="52" t="s">
        <v>1319</v>
      </c>
      <c r="C306" s="55" t="s">
        <v>1291</v>
      </c>
      <c r="D306" s="55" t="s">
        <v>417</v>
      </c>
      <c r="E306" s="55"/>
      <c r="F306" s="55"/>
      <c r="G306" s="436">
        <f>G307</f>
        <v>9247</v>
      </c>
      <c r="H306" s="436">
        <f>H307</f>
        <v>11813</v>
      </c>
      <c r="J306" s="436">
        <f>J307</f>
        <v>5120</v>
      </c>
      <c r="K306" s="460">
        <f aca="true" t="shared" si="33" ref="K306:K313">J306/G306*100</f>
        <v>55.36930896506975</v>
      </c>
      <c r="L306" s="460">
        <f t="shared" si="31"/>
        <v>43.34208075848641</v>
      </c>
    </row>
    <row r="307" spans="1:12" ht="24">
      <c r="A307" s="72" t="s">
        <v>1430</v>
      </c>
      <c r="B307" s="52" t="s">
        <v>1319</v>
      </c>
      <c r="C307" s="55" t="s">
        <v>1291</v>
      </c>
      <c r="D307" s="55" t="s">
        <v>417</v>
      </c>
      <c r="E307" s="55" t="s">
        <v>1431</v>
      </c>
      <c r="F307" s="55"/>
      <c r="G307" s="436">
        <f>G308</f>
        <v>9247</v>
      </c>
      <c r="H307" s="436">
        <f>H308</f>
        <v>11813</v>
      </c>
      <c r="J307" s="436">
        <f>J308</f>
        <v>5120</v>
      </c>
      <c r="K307" s="460">
        <f t="shared" si="33"/>
        <v>55.36930896506975</v>
      </c>
      <c r="L307" s="460">
        <f t="shared" si="31"/>
        <v>43.34208075848641</v>
      </c>
    </row>
    <row r="308" spans="1:12" ht="48">
      <c r="A308" s="62" t="s">
        <v>1432</v>
      </c>
      <c r="B308" s="52" t="s">
        <v>1319</v>
      </c>
      <c r="C308" s="55" t="s">
        <v>1291</v>
      </c>
      <c r="D308" s="55" t="s">
        <v>417</v>
      </c>
      <c r="E308" s="55" t="s">
        <v>1433</v>
      </c>
      <c r="F308" s="55"/>
      <c r="G308" s="436">
        <f>G309+G311</f>
        <v>9247</v>
      </c>
      <c r="H308" s="436">
        <f>H309+H311</f>
        <v>11813</v>
      </c>
      <c r="J308" s="436">
        <f>J309+J311</f>
        <v>5120</v>
      </c>
      <c r="K308" s="475">
        <f t="shared" si="33"/>
        <v>55.36930896506975</v>
      </c>
      <c r="L308" s="475">
        <f t="shared" si="31"/>
        <v>43.34208075848641</v>
      </c>
    </row>
    <row r="309" spans="1:12" ht="24">
      <c r="A309" s="62" t="s">
        <v>139</v>
      </c>
      <c r="B309" s="52" t="s">
        <v>1319</v>
      </c>
      <c r="C309" s="55" t="s">
        <v>1291</v>
      </c>
      <c r="D309" s="55" t="s">
        <v>417</v>
      </c>
      <c r="E309" s="55" t="s">
        <v>7</v>
      </c>
      <c r="F309" s="55" t="s">
        <v>1454</v>
      </c>
      <c r="G309" s="436">
        <f>G310</f>
        <v>13</v>
      </c>
      <c r="H309" s="436">
        <f>H310</f>
        <v>13</v>
      </c>
      <c r="J309" s="436">
        <f>J310</f>
        <v>10.9</v>
      </c>
      <c r="K309" s="475">
        <f t="shared" si="33"/>
        <v>83.84615384615385</v>
      </c>
      <c r="L309" s="475">
        <f t="shared" si="31"/>
        <v>83.84615384615385</v>
      </c>
    </row>
    <row r="310" spans="1:12" ht="24">
      <c r="A310" s="57" t="s">
        <v>1355</v>
      </c>
      <c r="B310" s="52" t="s">
        <v>1319</v>
      </c>
      <c r="C310" s="55" t="s">
        <v>1291</v>
      </c>
      <c r="D310" s="55" t="s">
        <v>417</v>
      </c>
      <c r="E310" s="55" t="s">
        <v>7</v>
      </c>
      <c r="F310" s="55" t="s">
        <v>554</v>
      </c>
      <c r="G310" s="437">
        <f>16-3</f>
        <v>13</v>
      </c>
      <c r="H310" s="437">
        <f>16-3</f>
        <v>13</v>
      </c>
      <c r="J310" s="437">
        <v>10.9</v>
      </c>
      <c r="K310" s="475">
        <f t="shared" si="33"/>
        <v>83.84615384615385</v>
      </c>
      <c r="L310" s="475">
        <f t="shared" si="31"/>
        <v>83.84615384615385</v>
      </c>
    </row>
    <row r="311" spans="1:12" ht="24">
      <c r="A311" s="62" t="s">
        <v>1435</v>
      </c>
      <c r="B311" s="52" t="s">
        <v>1319</v>
      </c>
      <c r="C311" s="55" t="s">
        <v>1291</v>
      </c>
      <c r="D311" s="55" t="s">
        <v>417</v>
      </c>
      <c r="E311" s="55" t="s">
        <v>1436</v>
      </c>
      <c r="F311" s="55" t="s">
        <v>920</v>
      </c>
      <c r="G311" s="436">
        <f>G312</f>
        <v>9234</v>
      </c>
      <c r="H311" s="436">
        <f>H312</f>
        <v>11800</v>
      </c>
      <c r="J311" s="436">
        <f>J312</f>
        <v>5109.1</v>
      </c>
      <c r="K311" s="475">
        <f t="shared" si="33"/>
        <v>55.329218106995896</v>
      </c>
      <c r="L311" s="475">
        <f t="shared" si="31"/>
        <v>43.297457627118646</v>
      </c>
    </row>
    <row r="312" spans="1:12" ht="24">
      <c r="A312" s="62" t="s">
        <v>139</v>
      </c>
      <c r="B312" s="52" t="s">
        <v>1319</v>
      </c>
      <c r="C312" s="55" t="s">
        <v>1291</v>
      </c>
      <c r="D312" s="55" t="s">
        <v>417</v>
      </c>
      <c r="E312" s="55" t="s">
        <v>1436</v>
      </c>
      <c r="F312" s="55" t="s">
        <v>1454</v>
      </c>
      <c r="G312" s="436">
        <f>G313</f>
        <v>9234</v>
      </c>
      <c r="H312" s="436">
        <f>H313</f>
        <v>11800</v>
      </c>
      <c r="J312" s="436">
        <f>J313</f>
        <v>5109.1</v>
      </c>
      <c r="K312" s="475">
        <f t="shared" si="33"/>
        <v>55.329218106995896</v>
      </c>
      <c r="L312" s="475">
        <f t="shared" si="31"/>
        <v>43.297457627118646</v>
      </c>
    </row>
    <row r="313" spans="1:12" ht="24">
      <c r="A313" s="57" t="s">
        <v>1355</v>
      </c>
      <c r="B313" s="52" t="s">
        <v>1319</v>
      </c>
      <c r="C313" s="55" t="s">
        <v>1291</v>
      </c>
      <c r="D313" s="55" t="s">
        <v>417</v>
      </c>
      <c r="E313" s="55" t="s">
        <v>1436</v>
      </c>
      <c r="F313" s="55" t="s">
        <v>554</v>
      </c>
      <c r="G313" s="437">
        <f>9234</f>
        <v>9234</v>
      </c>
      <c r="H313" s="437">
        <f>9234+2566</f>
        <v>11800</v>
      </c>
      <c r="J313" s="437">
        <v>5109.1</v>
      </c>
      <c r="K313" s="475">
        <f t="shared" si="33"/>
        <v>55.329218106995896</v>
      </c>
      <c r="L313" s="475">
        <f t="shared" si="31"/>
        <v>43.297457627118646</v>
      </c>
    </row>
    <row r="314" spans="1:12" ht="15.75">
      <c r="A314" s="65" t="s">
        <v>426</v>
      </c>
      <c r="B314" s="52" t="s">
        <v>1319</v>
      </c>
      <c r="C314" s="55" t="s">
        <v>1291</v>
      </c>
      <c r="D314" s="55" t="s">
        <v>1291</v>
      </c>
      <c r="E314" s="55"/>
      <c r="F314" s="55"/>
      <c r="G314" s="436">
        <f>G315</f>
        <v>17074</v>
      </c>
      <c r="H314" s="436">
        <f>H315</f>
        <v>19231.800000000003</v>
      </c>
      <c r="J314" s="436">
        <f>J315</f>
        <v>18043.899999999998</v>
      </c>
      <c r="K314" s="460">
        <f aca="true" t="shared" si="34" ref="K314:K332">J314/G314*100</f>
        <v>105.68056694389128</v>
      </c>
      <c r="L314" s="460">
        <f aca="true" t="shared" si="35" ref="L314:L319">J314/H314*100</f>
        <v>93.82325107374243</v>
      </c>
    </row>
    <row r="315" spans="1:12" ht="24">
      <c r="A315" s="72" t="s">
        <v>1430</v>
      </c>
      <c r="B315" s="52" t="s">
        <v>1319</v>
      </c>
      <c r="C315" s="55" t="s">
        <v>1291</v>
      </c>
      <c r="D315" s="55" t="s">
        <v>1291</v>
      </c>
      <c r="E315" s="55" t="s">
        <v>1431</v>
      </c>
      <c r="F315" s="55"/>
      <c r="G315" s="436">
        <f>G316</f>
        <v>17074</v>
      </c>
      <c r="H315" s="436">
        <f>H316</f>
        <v>19231.800000000003</v>
      </c>
      <c r="J315" s="436">
        <f>J316</f>
        <v>18043.899999999998</v>
      </c>
      <c r="K315" s="460">
        <f t="shared" si="34"/>
        <v>105.68056694389128</v>
      </c>
      <c r="L315" s="460">
        <f t="shared" si="35"/>
        <v>93.82325107374243</v>
      </c>
    </row>
    <row r="316" spans="1:12" ht="24">
      <c r="A316" s="64" t="s">
        <v>8</v>
      </c>
      <c r="B316" s="52" t="s">
        <v>1319</v>
      </c>
      <c r="C316" s="55" t="s">
        <v>1291</v>
      </c>
      <c r="D316" s="55" t="s">
        <v>1291</v>
      </c>
      <c r="E316" s="55" t="s">
        <v>9</v>
      </c>
      <c r="F316" s="55"/>
      <c r="G316" s="436">
        <f>G317+G322+G330+G327</f>
        <v>17074</v>
      </c>
      <c r="H316" s="436">
        <f>H317+H322+H330+H327</f>
        <v>19231.800000000003</v>
      </c>
      <c r="J316" s="436">
        <f>J317+J322+J330+J327</f>
        <v>18043.899999999998</v>
      </c>
      <c r="K316" s="475">
        <f t="shared" si="34"/>
        <v>105.68056694389128</v>
      </c>
      <c r="L316" s="475">
        <f t="shared" si="35"/>
        <v>93.82325107374243</v>
      </c>
    </row>
    <row r="317" spans="1:12" ht="34.5" customHeight="1">
      <c r="A317" s="57" t="s">
        <v>10</v>
      </c>
      <c r="B317" s="52" t="s">
        <v>1319</v>
      </c>
      <c r="C317" s="55" t="s">
        <v>1291</v>
      </c>
      <c r="D317" s="55" t="s">
        <v>1291</v>
      </c>
      <c r="E317" s="55" t="s">
        <v>11</v>
      </c>
      <c r="F317" s="55" t="s">
        <v>920</v>
      </c>
      <c r="G317" s="436">
        <f>G318+G320</f>
        <v>4149</v>
      </c>
      <c r="H317" s="436">
        <f>H318+H320</f>
        <v>4149</v>
      </c>
      <c r="J317" s="436">
        <f>J318+J320</f>
        <v>3930.5</v>
      </c>
      <c r="K317" s="475">
        <f t="shared" si="34"/>
        <v>94.73367076403953</v>
      </c>
      <c r="L317" s="475">
        <f t="shared" si="35"/>
        <v>94.73367076403953</v>
      </c>
    </row>
    <row r="318" spans="1:12" ht="34.5" customHeight="1">
      <c r="A318" s="206" t="s">
        <v>63</v>
      </c>
      <c r="B318" s="52" t="s">
        <v>1319</v>
      </c>
      <c r="C318" s="55" t="s">
        <v>1291</v>
      </c>
      <c r="D318" s="55" t="s">
        <v>1291</v>
      </c>
      <c r="E318" s="55" t="s">
        <v>11</v>
      </c>
      <c r="F318" s="55" t="s">
        <v>64</v>
      </c>
      <c r="G318" s="436">
        <f>G319</f>
        <v>4125</v>
      </c>
      <c r="H318" s="436">
        <f>H319</f>
        <v>4149</v>
      </c>
      <c r="J318" s="436">
        <f>J319</f>
        <v>3930.5</v>
      </c>
      <c r="K318" s="475">
        <f t="shared" si="34"/>
        <v>95.28484848484848</v>
      </c>
      <c r="L318" s="475">
        <f t="shared" si="35"/>
        <v>94.73367076403953</v>
      </c>
    </row>
    <row r="319" spans="1:12" ht="21.75" customHeight="1">
      <c r="A319" s="206" t="s">
        <v>65</v>
      </c>
      <c r="B319" s="52" t="s">
        <v>1319</v>
      </c>
      <c r="C319" s="55" t="s">
        <v>1291</v>
      </c>
      <c r="D319" s="55" t="s">
        <v>1291</v>
      </c>
      <c r="E319" s="55" t="s">
        <v>11</v>
      </c>
      <c r="F319" s="55" t="s">
        <v>527</v>
      </c>
      <c r="G319" s="437">
        <f>4125</f>
        <v>4125</v>
      </c>
      <c r="H319" s="437">
        <f>4125+24</f>
        <v>4149</v>
      </c>
      <c r="J319" s="437">
        <v>3930.5</v>
      </c>
      <c r="K319" s="475">
        <f t="shared" si="34"/>
        <v>95.28484848484848</v>
      </c>
      <c r="L319" s="475">
        <f t="shared" si="35"/>
        <v>94.73367076403953</v>
      </c>
    </row>
    <row r="320" spans="1:12" ht="24">
      <c r="A320" s="206" t="s">
        <v>68</v>
      </c>
      <c r="B320" s="52" t="s">
        <v>1319</v>
      </c>
      <c r="C320" s="55" t="s">
        <v>1291</v>
      </c>
      <c r="D320" s="55" t="s">
        <v>1291</v>
      </c>
      <c r="E320" s="55" t="s">
        <v>11</v>
      </c>
      <c r="F320" s="55" t="s">
        <v>528</v>
      </c>
      <c r="G320" s="436">
        <f>G321</f>
        <v>24</v>
      </c>
      <c r="H320" s="436">
        <f>H321</f>
        <v>0</v>
      </c>
      <c r="J320" s="436">
        <f>J321</f>
        <v>0</v>
      </c>
      <c r="K320" s="475">
        <f t="shared" si="34"/>
        <v>0</v>
      </c>
      <c r="L320" s="475">
        <v>0</v>
      </c>
    </row>
    <row r="321" spans="1:12" ht="24">
      <c r="A321" s="206" t="s">
        <v>710</v>
      </c>
      <c r="B321" s="52" t="s">
        <v>1319</v>
      </c>
      <c r="C321" s="55" t="s">
        <v>1291</v>
      </c>
      <c r="D321" s="55" t="s">
        <v>1291</v>
      </c>
      <c r="E321" s="55" t="s">
        <v>11</v>
      </c>
      <c r="F321" s="55" t="s">
        <v>1486</v>
      </c>
      <c r="G321" s="437">
        <v>24</v>
      </c>
      <c r="H321" s="437">
        <f>24-24</f>
        <v>0</v>
      </c>
      <c r="J321" s="437">
        <f>24-24</f>
        <v>0</v>
      </c>
      <c r="K321" s="475">
        <f t="shared" si="34"/>
        <v>0</v>
      </c>
      <c r="L321" s="475">
        <v>0</v>
      </c>
    </row>
    <row r="322" spans="1:12" ht="24">
      <c r="A322" s="57" t="s">
        <v>531</v>
      </c>
      <c r="B322" s="52" t="s">
        <v>1319</v>
      </c>
      <c r="C322" s="55" t="s">
        <v>1291</v>
      </c>
      <c r="D322" s="55" t="s">
        <v>1291</v>
      </c>
      <c r="E322" s="55" t="s">
        <v>12</v>
      </c>
      <c r="F322" s="59" t="s">
        <v>920</v>
      </c>
      <c r="G322" s="436">
        <f>G323+G325</f>
        <v>8817</v>
      </c>
      <c r="H322" s="436">
        <f>H323+H325</f>
        <v>10478.800000000001</v>
      </c>
      <c r="J322" s="436">
        <f>J323+J325</f>
        <v>9539</v>
      </c>
      <c r="K322" s="475">
        <f t="shared" si="34"/>
        <v>108.18872632414653</v>
      </c>
      <c r="L322" s="475">
        <f aca="true" t="shared" si="36" ref="L322:L332">J322/H322*100</f>
        <v>91.03141581097071</v>
      </c>
    </row>
    <row r="323" spans="1:12" ht="48">
      <c r="A323" s="206" t="s">
        <v>63</v>
      </c>
      <c r="B323" s="52" t="s">
        <v>1319</v>
      </c>
      <c r="C323" s="55" t="s">
        <v>1291</v>
      </c>
      <c r="D323" s="55" t="s">
        <v>1291</v>
      </c>
      <c r="E323" s="55" t="s">
        <v>12</v>
      </c>
      <c r="F323" s="59" t="s">
        <v>64</v>
      </c>
      <c r="G323" s="436">
        <f>G324</f>
        <v>8286</v>
      </c>
      <c r="H323" s="436">
        <f>H324</f>
        <v>9966.800000000001</v>
      </c>
      <c r="J323" s="436">
        <f>J324</f>
        <v>9042</v>
      </c>
      <c r="K323" s="475">
        <f t="shared" si="34"/>
        <v>109.12382331643738</v>
      </c>
      <c r="L323" s="475">
        <f t="shared" si="36"/>
        <v>90.72119436529276</v>
      </c>
    </row>
    <row r="324" spans="1:12" ht="24">
      <c r="A324" s="206" t="s">
        <v>65</v>
      </c>
      <c r="B324" s="52" t="s">
        <v>1319</v>
      </c>
      <c r="C324" s="55" t="s">
        <v>1291</v>
      </c>
      <c r="D324" s="55" t="s">
        <v>1291</v>
      </c>
      <c r="E324" s="55" t="s">
        <v>12</v>
      </c>
      <c r="F324" s="59" t="s">
        <v>527</v>
      </c>
      <c r="G324" s="437">
        <f>8286</f>
        <v>8286</v>
      </c>
      <c r="H324" s="437">
        <f>8286+746.7+934.1</f>
        <v>9966.800000000001</v>
      </c>
      <c r="J324" s="437">
        <v>9042</v>
      </c>
      <c r="K324" s="475">
        <f t="shared" si="34"/>
        <v>109.12382331643738</v>
      </c>
      <c r="L324" s="475">
        <f t="shared" si="36"/>
        <v>90.72119436529276</v>
      </c>
    </row>
    <row r="325" spans="1:12" ht="24">
      <c r="A325" s="206" t="s">
        <v>68</v>
      </c>
      <c r="B325" s="52" t="s">
        <v>1319</v>
      </c>
      <c r="C325" s="55" t="s">
        <v>1291</v>
      </c>
      <c r="D325" s="55" t="s">
        <v>1291</v>
      </c>
      <c r="E325" s="55" t="s">
        <v>12</v>
      </c>
      <c r="F325" s="59" t="s">
        <v>528</v>
      </c>
      <c r="G325" s="436">
        <f>G326</f>
        <v>531</v>
      </c>
      <c r="H325" s="436">
        <f>H326</f>
        <v>512</v>
      </c>
      <c r="J325" s="436">
        <f>J326</f>
        <v>497</v>
      </c>
      <c r="K325" s="475">
        <f t="shared" si="34"/>
        <v>93.5969868173258</v>
      </c>
      <c r="L325" s="475">
        <f t="shared" si="36"/>
        <v>97.0703125</v>
      </c>
    </row>
    <row r="326" spans="1:12" ht="24">
      <c r="A326" s="206" t="s">
        <v>710</v>
      </c>
      <c r="B326" s="52" t="s">
        <v>1319</v>
      </c>
      <c r="C326" s="55" t="s">
        <v>1291</v>
      </c>
      <c r="D326" s="55" t="s">
        <v>1291</v>
      </c>
      <c r="E326" s="55" t="s">
        <v>12</v>
      </c>
      <c r="F326" s="59" t="s">
        <v>1486</v>
      </c>
      <c r="G326" s="437">
        <v>531</v>
      </c>
      <c r="H326" s="437">
        <f>531+6-60+35</f>
        <v>512</v>
      </c>
      <c r="J326" s="437">
        <v>497</v>
      </c>
      <c r="K326" s="475">
        <f t="shared" si="34"/>
        <v>93.5969868173258</v>
      </c>
      <c r="L326" s="475">
        <f t="shared" si="36"/>
        <v>97.0703125</v>
      </c>
    </row>
    <row r="327" spans="1:12" ht="24">
      <c r="A327" s="207" t="s">
        <v>1487</v>
      </c>
      <c r="B327" s="52" t="s">
        <v>1319</v>
      </c>
      <c r="C327" s="55" t="s">
        <v>1291</v>
      </c>
      <c r="D327" s="55" t="s">
        <v>1291</v>
      </c>
      <c r="E327" s="55" t="s">
        <v>13</v>
      </c>
      <c r="F327" s="59" t="s">
        <v>920</v>
      </c>
      <c r="G327" s="436">
        <f>G328</f>
        <v>20</v>
      </c>
      <c r="H327" s="436">
        <f>H328</f>
        <v>165</v>
      </c>
      <c r="J327" s="436">
        <f>J328</f>
        <v>150.1</v>
      </c>
      <c r="K327" s="475">
        <f t="shared" si="34"/>
        <v>750.5</v>
      </c>
      <c r="L327" s="475">
        <f t="shared" si="36"/>
        <v>90.96969696969697</v>
      </c>
    </row>
    <row r="328" spans="1:12" ht="24">
      <c r="A328" s="206" t="s">
        <v>793</v>
      </c>
      <c r="B328" s="52" t="s">
        <v>1319</v>
      </c>
      <c r="C328" s="55" t="s">
        <v>1291</v>
      </c>
      <c r="D328" s="55" t="s">
        <v>1291</v>
      </c>
      <c r="E328" s="55" t="s">
        <v>13</v>
      </c>
      <c r="F328" s="59" t="s">
        <v>794</v>
      </c>
      <c r="G328" s="436">
        <f>G329</f>
        <v>20</v>
      </c>
      <c r="H328" s="436">
        <f>H329</f>
        <v>165</v>
      </c>
      <c r="J328" s="436">
        <f>J329</f>
        <v>150.1</v>
      </c>
      <c r="K328" s="475">
        <f t="shared" si="34"/>
        <v>750.5</v>
      </c>
      <c r="L328" s="475">
        <f t="shared" si="36"/>
        <v>90.96969696969697</v>
      </c>
    </row>
    <row r="329" spans="1:12" ht="24">
      <c r="A329" s="206" t="s">
        <v>70</v>
      </c>
      <c r="B329" s="52" t="s">
        <v>1319</v>
      </c>
      <c r="C329" s="55" t="s">
        <v>1291</v>
      </c>
      <c r="D329" s="55" t="s">
        <v>1291</v>
      </c>
      <c r="E329" s="55" t="s">
        <v>13</v>
      </c>
      <c r="F329" s="59" t="s">
        <v>71</v>
      </c>
      <c r="G329" s="437">
        <v>20</v>
      </c>
      <c r="H329" s="437">
        <f>20+60+85</f>
        <v>165</v>
      </c>
      <c r="J329" s="437">
        <v>150.1</v>
      </c>
      <c r="K329" s="475">
        <f t="shared" si="34"/>
        <v>750.5</v>
      </c>
      <c r="L329" s="475">
        <f t="shared" si="36"/>
        <v>90.96969696969697</v>
      </c>
    </row>
    <row r="330" spans="1:12" ht="27" customHeight="1">
      <c r="A330" s="64" t="s">
        <v>14</v>
      </c>
      <c r="B330" s="52" t="s">
        <v>1319</v>
      </c>
      <c r="C330" s="55" t="s">
        <v>1291</v>
      </c>
      <c r="D330" s="55" t="s">
        <v>1291</v>
      </c>
      <c r="E330" s="55" t="s">
        <v>15</v>
      </c>
      <c r="F330" s="59" t="s">
        <v>920</v>
      </c>
      <c r="G330" s="436">
        <f>G331</f>
        <v>4088</v>
      </c>
      <c r="H330" s="436">
        <f>H331</f>
        <v>4439</v>
      </c>
      <c r="J330" s="436">
        <f>J331</f>
        <v>4424.3</v>
      </c>
      <c r="K330" s="475">
        <f t="shared" si="34"/>
        <v>108.2265166340509</v>
      </c>
      <c r="L330" s="475">
        <f t="shared" si="36"/>
        <v>99.66884433430954</v>
      </c>
    </row>
    <row r="331" spans="1:12" ht="27" customHeight="1">
      <c r="A331" s="62" t="s">
        <v>139</v>
      </c>
      <c r="B331" s="52" t="s">
        <v>1319</v>
      </c>
      <c r="C331" s="55" t="s">
        <v>1291</v>
      </c>
      <c r="D331" s="55" t="s">
        <v>1291</v>
      </c>
      <c r="E331" s="55" t="s">
        <v>15</v>
      </c>
      <c r="F331" s="59" t="s">
        <v>1454</v>
      </c>
      <c r="G331" s="436">
        <f>G332</f>
        <v>4088</v>
      </c>
      <c r="H331" s="436">
        <f>H332</f>
        <v>4439</v>
      </c>
      <c r="J331" s="436">
        <f>J332</f>
        <v>4424.3</v>
      </c>
      <c r="K331" s="475">
        <f t="shared" si="34"/>
        <v>108.2265166340509</v>
      </c>
      <c r="L331" s="475">
        <f t="shared" si="36"/>
        <v>99.66884433430954</v>
      </c>
    </row>
    <row r="332" spans="1:12" ht="24">
      <c r="A332" s="57" t="s">
        <v>1355</v>
      </c>
      <c r="B332" s="52" t="s">
        <v>1319</v>
      </c>
      <c r="C332" s="55" t="s">
        <v>1291</v>
      </c>
      <c r="D332" s="55" t="s">
        <v>1291</v>
      </c>
      <c r="E332" s="55" t="s">
        <v>15</v>
      </c>
      <c r="F332" s="59" t="s">
        <v>554</v>
      </c>
      <c r="G332" s="437">
        <v>4088</v>
      </c>
      <c r="H332" s="437">
        <v>4439</v>
      </c>
      <c r="J332" s="437">
        <v>4424.3</v>
      </c>
      <c r="K332" s="475">
        <f t="shared" si="34"/>
        <v>108.2265166340509</v>
      </c>
      <c r="L332" s="475">
        <f t="shared" si="36"/>
        <v>99.66884433430954</v>
      </c>
    </row>
    <row r="333" spans="1:12" ht="18.75" customHeight="1">
      <c r="A333" s="49" t="s">
        <v>1118</v>
      </c>
      <c r="B333" s="50" t="s">
        <v>925</v>
      </c>
      <c r="C333" s="50"/>
      <c r="D333" s="50"/>
      <c r="E333" s="50"/>
      <c r="F333" s="50"/>
      <c r="G333" s="434">
        <f>G334+G366+G447</f>
        <v>611662.9</v>
      </c>
      <c r="H333" s="434">
        <f>H334+H366+H447</f>
        <v>684440.6</v>
      </c>
      <c r="J333" s="434">
        <f>J334+J366+J447</f>
        <v>680432.3</v>
      </c>
      <c r="K333" s="51">
        <f>J333/G333*100</f>
        <v>111.24302291343811</v>
      </c>
      <c r="L333" s="51">
        <f aca="true" t="shared" si="37" ref="L333:L361">J333/H333*100</f>
        <v>99.41436846382288</v>
      </c>
    </row>
    <row r="334" spans="1:12" ht="15.75">
      <c r="A334" s="58" t="s">
        <v>1138</v>
      </c>
      <c r="B334" s="52" t="s">
        <v>925</v>
      </c>
      <c r="C334" s="55" t="s">
        <v>418</v>
      </c>
      <c r="D334" s="59"/>
      <c r="E334" s="59"/>
      <c r="F334" s="59"/>
      <c r="G334" s="436">
        <f>G335+G347</f>
        <v>124358.9</v>
      </c>
      <c r="H334" s="436">
        <f>H335+H347</f>
        <v>132757.4</v>
      </c>
      <c r="J334" s="436">
        <f>J335+J347</f>
        <v>132455.2</v>
      </c>
      <c r="K334" s="460">
        <f>J334/G334*100</f>
        <v>106.51043069695858</v>
      </c>
      <c r="L334" s="460">
        <f t="shared" si="37"/>
        <v>99.77236673812536</v>
      </c>
    </row>
    <row r="335" spans="1:12" ht="15.75">
      <c r="A335" s="61" t="s">
        <v>1087</v>
      </c>
      <c r="B335" s="52" t="s">
        <v>925</v>
      </c>
      <c r="C335" s="55" t="s">
        <v>418</v>
      </c>
      <c r="D335" s="55" t="s">
        <v>1106</v>
      </c>
      <c r="E335" s="55"/>
      <c r="F335" s="55"/>
      <c r="G335" s="436">
        <f>G336</f>
        <v>92892</v>
      </c>
      <c r="H335" s="436">
        <f>H336</f>
        <v>102847</v>
      </c>
      <c r="J335" s="436">
        <f>J336</f>
        <v>102594.7</v>
      </c>
      <c r="K335" s="460">
        <f>J335/G335*100</f>
        <v>110.44514059337725</v>
      </c>
      <c r="L335" s="460">
        <f t="shared" si="37"/>
        <v>99.75468414246404</v>
      </c>
    </row>
    <row r="336" spans="1:12" ht="24">
      <c r="A336" s="382" t="s">
        <v>608</v>
      </c>
      <c r="B336" s="52" t="s">
        <v>925</v>
      </c>
      <c r="C336" s="235" t="s">
        <v>418</v>
      </c>
      <c r="D336" s="55" t="s">
        <v>1106</v>
      </c>
      <c r="E336" s="235" t="s">
        <v>1251</v>
      </c>
      <c r="F336" s="55"/>
      <c r="G336" s="436">
        <f>G337+G343</f>
        <v>92892</v>
      </c>
      <c r="H336" s="436">
        <f>H337+H343</f>
        <v>102847</v>
      </c>
      <c r="J336" s="436">
        <f>J337+J343</f>
        <v>102594.7</v>
      </c>
      <c r="K336" s="475">
        <f>J336/G336*100</f>
        <v>110.44514059337725</v>
      </c>
      <c r="L336" s="475">
        <f t="shared" si="37"/>
        <v>99.75468414246404</v>
      </c>
    </row>
    <row r="337" spans="1:12" ht="31.5" customHeight="1">
      <c r="A337" s="209" t="s">
        <v>1252</v>
      </c>
      <c r="B337" s="52" t="s">
        <v>925</v>
      </c>
      <c r="C337" s="235" t="s">
        <v>418</v>
      </c>
      <c r="D337" s="55" t="s">
        <v>1106</v>
      </c>
      <c r="E337" s="235" t="s">
        <v>1253</v>
      </c>
      <c r="F337" s="55"/>
      <c r="G337" s="436">
        <f>G338+G341</f>
        <v>92892</v>
      </c>
      <c r="H337" s="436">
        <f>H338+H341</f>
        <v>102822</v>
      </c>
      <c r="J337" s="436">
        <f>J338+J341</f>
        <v>102569.7</v>
      </c>
      <c r="K337" s="475">
        <f>J337/G337*100</f>
        <v>110.41822761917064</v>
      </c>
      <c r="L337" s="475">
        <f t="shared" si="37"/>
        <v>99.75462449670303</v>
      </c>
    </row>
    <row r="338" spans="1:12" ht="68.25" customHeight="1">
      <c r="A338" s="209" t="s">
        <v>1254</v>
      </c>
      <c r="B338" s="52" t="s">
        <v>925</v>
      </c>
      <c r="C338" s="235" t="s">
        <v>418</v>
      </c>
      <c r="D338" s="55" t="s">
        <v>1106</v>
      </c>
      <c r="E338" s="235" t="s">
        <v>1255</v>
      </c>
      <c r="F338" s="55"/>
      <c r="G338" s="436">
        <f>G339</f>
        <v>0</v>
      </c>
      <c r="H338" s="436">
        <f>H339</f>
        <v>3840</v>
      </c>
      <c r="J338" s="436">
        <f>J339</f>
        <v>3840</v>
      </c>
      <c r="K338" s="475">
        <v>0</v>
      </c>
      <c r="L338" s="475">
        <f t="shared" si="37"/>
        <v>100</v>
      </c>
    </row>
    <row r="339" spans="1:12" ht="22.5" customHeight="1">
      <c r="A339" s="62" t="s">
        <v>139</v>
      </c>
      <c r="B339" s="52" t="s">
        <v>925</v>
      </c>
      <c r="C339" s="235" t="s">
        <v>418</v>
      </c>
      <c r="D339" s="55" t="s">
        <v>1106</v>
      </c>
      <c r="E339" s="235" t="s">
        <v>1255</v>
      </c>
      <c r="F339" s="55" t="s">
        <v>1454</v>
      </c>
      <c r="G339" s="436">
        <f>G340</f>
        <v>0</v>
      </c>
      <c r="H339" s="436">
        <f>H340</f>
        <v>3840</v>
      </c>
      <c r="J339" s="436">
        <f>J340</f>
        <v>3840</v>
      </c>
      <c r="K339" s="475">
        <v>0</v>
      </c>
      <c r="L339" s="475">
        <f t="shared" si="37"/>
        <v>100</v>
      </c>
    </row>
    <row r="340" spans="1:12" ht="17.25" customHeight="1">
      <c r="A340" s="236" t="s">
        <v>553</v>
      </c>
      <c r="B340" s="52" t="s">
        <v>925</v>
      </c>
      <c r="C340" s="235" t="s">
        <v>418</v>
      </c>
      <c r="D340" s="55" t="s">
        <v>1106</v>
      </c>
      <c r="E340" s="235" t="s">
        <v>1255</v>
      </c>
      <c r="F340" s="55" t="s">
        <v>554</v>
      </c>
      <c r="G340" s="437">
        <v>0</v>
      </c>
      <c r="H340" s="437">
        <v>3840</v>
      </c>
      <c r="J340" s="437">
        <v>3840</v>
      </c>
      <c r="K340" s="475">
        <v>0</v>
      </c>
      <c r="L340" s="475">
        <f t="shared" si="37"/>
        <v>100</v>
      </c>
    </row>
    <row r="341" spans="1:12" ht="31.5" customHeight="1">
      <c r="A341" s="62" t="s">
        <v>139</v>
      </c>
      <c r="B341" s="52" t="s">
        <v>925</v>
      </c>
      <c r="C341" s="55" t="s">
        <v>418</v>
      </c>
      <c r="D341" s="55" t="s">
        <v>1106</v>
      </c>
      <c r="E341" s="235" t="s">
        <v>1256</v>
      </c>
      <c r="F341" s="55" t="s">
        <v>1454</v>
      </c>
      <c r="G341" s="436">
        <f>G342</f>
        <v>92892</v>
      </c>
      <c r="H341" s="436">
        <f>H342</f>
        <v>98982</v>
      </c>
      <c r="J341" s="436">
        <f>J342</f>
        <v>98729.7</v>
      </c>
      <c r="K341" s="475">
        <f>J341/G341*100</f>
        <v>106.28439478103604</v>
      </c>
      <c r="L341" s="475">
        <f t="shared" si="37"/>
        <v>99.74510517063709</v>
      </c>
    </row>
    <row r="342" spans="1:12" ht="20.25" customHeight="1">
      <c r="A342" s="236" t="s">
        <v>553</v>
      </c>
      <c r="B342" s="52" t="s">
        <v>925</v>
      </c>
      <c r="C342" s="55" t="s">
        <v>418</v>
      </c>
      <c r="D342" s="55" t="s">
        <v>1106</v>
      </c>
      <c r="E342" s="235" t="s">
        <v>1256</v>
      </c>
      <c r="F342" s="55" t="s">
        <v>554</v>
      </c>
      <c r="G342" s="437">
        <f>92892</f>
        <v>92892</v>
      </c>
      <c r="H342" s="437">
        <f>92892+3560+3330-800</f>
        <v>98982</v>
      </c>
      <c r="J342" s="437">
        <v>98729.7</v>
      </c>
      <c r="K342" s="475">
        <f>J342/G342*100</f>
        <v>106.28439478103604</v>
      </c>
      <c r="L342" s="475">
        <f t="shared" si="37"/>
        <v>99.74510517063709</v>
      </c>
    </row>
    <row r="343" spans="1:12" ht="36">
      <c r="A343" s="57" t="s">
        <v>1257</v>
      </c>
      <c r="B343" s="52" t="s">
        <v>925</v>
      </c>
      <c r="C343" s="55" t="s">
        <v>418</v>
      </c>
      <c r="D343" s="55" t="s">
        <v>1106</v>
      </c>
      <c r="E343" s="235" t="s">
        <v>1258</v>
      </c>
      <c r="F343" s="55"/>
      <c r="G343" s="436">
        <f>G344</f>
        <v>0</v>
      </c>
      <c r="H343" s="436">
        <f>H344</f>
        <v>25</v>
      </c>
      <c r="J343" s="436">
        <f>J344</f>
        <v>25</v>
      </c>
      <c r="K343" s="475">
        <v>0</v>
      </c>
      <c r="L343" s="475">
        <f t="shared" si="37"/>
        <v>100</v>
      </c>
    </row>
    <row r="344" spans="1:12" ht="24">
      <c r="A344" s="62" t="s">
        <v>139</v>
      </c>
      <c r="B344" s="52" t="s">
        <v>925</v>
      </c>
      <c r="C344" s="55" t="s">
        <v>418</v>
      </c>
      <c r="D344" s="55" t="s">
        <v>1106</v>
      </c>
      <c r="E344" s="235" t="s">
        <v>1259</v>
      </c>
      <c r="F344" s="55" t="s">
        <v>1454</v>
      </c>
      <c r="G344" s="437">
        <f>G345</f>
        <v>0</v>
      </c>
      <c r="H344" s="437">
        <f>H345</f>
        <v>25</v>
      </c>
      <c r="J344" s="437">
        <f>J345</f>
        <v>25</v>
      </c>
      <c r="K344" s="475">
        <v>0</v>
      </c>
      <c r="L344" s="475">
        <f t="shared" si="37"/>
        <v>100</v>
      </c>
    </row>
    <row r="345" spans="1:12" ht="24">
      <c r="A345" s="236" t="s">
        <v>512</v>
      </c>
      <c r="B345" s="52" t="s">
        <v>925</v>
      </c>
      <c r="C345" s="55" t="s">
        <v>418</v>
      </c>
      <c r="D345" s="55" t="s">
        <v>1106</v>
      </c>
      <c r="E345" s="235" t="s">
        <v>1259</v>
      </c>
      <c r="F345" s="55" t="s">
        <v>554</v>
      </c>
      <c r="G345" s="437">
        <v>0</v>
      </c>
      <c r="H345" s="437">
        <v>25</v>
      </c>
      <c r="J345" s="437">
        <v>25</v>
      </c>
      <c r="K345" s="475">
        <v>0</v>
      </c>
      <c r="L345" s="475">
        <f t="shared" si="37"/>
        <v>100</v>
      </c>
    </row>
    <row r="346" spans="1:12" ht="24">
      <c r="A346" s="236" t="s">
        <v>1268</v>
      </c>
      <c r="B346" s="52" t="s">
        <v>925</v>
      </c>
      <c r="C346" s="55" t="s">
        <v>418</v>
      </c>
      <c r="D346" s="55" t="s">
        <v>1106</v>
      </c>
      <c r="E346" s="235" t="s">
        <v>1259</v>
      </c>
      <c r="F346" s="55" t="s">
        <v>554</v>
      </c>
      <c r="G346" s="437">
        <v>0</v>
      </c>
      <c r="H346" s="437">
        <v>25</v>
      </c>
      <c r="J346" s="437">
        <v>25</v>
      </c>
      <c r="K346" s="475">
        <v>0</v>
      </c>
      <c r="L346" s="475">
        <f t="shared" si="37"/>
        <v>100</v>
      </c>
    </row>
    <row r="347" spans="1:12" ht="15.75">
      <c r="A347" s="61" t="s">
        <v>1089</v>
      </c>
      <c r="B347" s="52" t="s">
        <v>925</v>
      </c>
      <c r="C347" s="55" t="s">
        <v>418</v>
      </c>
      <c r="D347" s="55" t="s">
        <v>418</v>
      </c>
      <c r="E347" s="235"/>
      <c r="F347" s="55"/>
      <c r="G347" s="463">
        <f>G348+G356+G363</f>
        <v>31466.9</v>
      </c>
      <c r="H347" s="463">
        <f>H348+H356+H363</f>
        <v>29910.4</v>
      </c>
      <c r="I347" s="464"/>
      <c r="J347" s="463">
        <f>J348+J356+J363</f>
        <v>29860.5</v>
      </c>
      <c r="K347" s="460">
        <f>J347/G347*100</f>
        <v>94.89495310945787</v>
      </c>
      <c r="L347" s="460">
        <f t="shared" si="37"/>
        <v>99.83316839627688</v>
      </c>
    </row>
    <row r="348" spans="1:12" ht="48">
      <c r="A348" s="465" t="s">
        <v>287</v>
      </c>
      <c r="B348" s="52" t="s">
        <v>925</v>
      </c>
      <c r="C348" s="466" t="s">
        <v>418</v>
      </c>
      <c r="D348" s="466" t="s">
        <v>418</v>
      </c>
      <c r="E348" s="466" t="s">
        <v>288</v>
      </c>
      <c r="F348" s="466"/>
      <c r="G348" s="441">
        <f>G349</f>
        <v>0</v>
      </c>
      <c r="H348" s="441">
        <f>H349</f>
        <v>1334.4</v>
      </c>
      <c r="I348" s="467"/>
      <c r="J348" s="441">
        <f>J349</f>
        <v>1334.3</v>
      </c>
      <c r="K348" s="475">
        <v>0</v>
      </c>
      <c r="L348" s="475">
        <f t="shared" si="37"/>
        <v>99.99250599520383</v>
      </c>
    </row>
    <row r="349" spans="1:12" ht="24">
      <c r="A349" s="468" t="s">
        <v>139</v>
      </c>
      <c r="B349" s="52" t="s">
        <v>925</v>
      </c>
      <c r="C349" s="466" t="s">
        <v>418</v>
      </c>
      <c r="D349" s="466" t="s">
        <v>418</v>
      </c>
      <c r="E349" s="466" t="s">
        <v>586</v>
      </c>
      <c r="F349" s="466" t="s">
        <v>1454</v>
      </c>
      <c r="G349" s="441">
        <f>G350+G353</f>
        <v>0</v>
      </c>
      <c r="H349" s="441">
        <f>H350+H353</f>
        <v>1334.4</v>
      </c>
      <c r="I349" s="467"/>
      <c r="J349" s="441">
        <f>J350+J353</f>
        <v>1334.3</v>
      </c>
      <c r="K349" s="475">
        <v>0</v>
      </c>
      <c r="L349" s="475">
        <f t="shared" si="37"/>
        <v>99.99250599520383</v>
      </c>
    </row>
    <row r="350" spans="1:12" ht="24">
      <c r="A350" s="462" t="s">
        <v>141</v>
      </c>
      <c r="B350" s="52" t="s">
        <v>925</v>
      </c>
      <c r="C350" s="466" t="s">
        <v>418</v>
      </c>
      <c r="D350" s="466" t="s">
        <v>418</v>
      </c>
      <c r="E350" s="466" t="s">
        <v>586</v>
      </c>
      <c r="F350" s="466" t="s">
        <v>554</v>
      </c>
      <c r="G350" s="441">
        <f>G351</f>
        <v>0</v>
      </c>
      <c r="H350" s="441">
        <f>H351</f>
        <v>934.4</v>
      </c>
      <c r="I350" s="467"/>
      <c r="J350" s="441">
        <f>J351</f>
        <v>934.3</v>
      </c>
      <c r="K350" s="475">
        <v>0</v>
      </c>
      <c r="L350" s="475">
        <f t="shared" si="37"/>
        <v>99.98929794520548</v>
      </c>
    </row>
    <row r="351" spans="1:12" ht="24">
      <c r="A351" s="462" t="s">
        <v>1294</v>
      </c>
      <c r="B351" s="52" t="s">
        <v>925</v>
      </c>
      <c r="C351" s="466" t="s">
        <v>418</v>
      </c>
      <c r="D351" s="466" t="s">
        <v>418</v>
      </c>
      <c r="E351" s="466" t="s">
        <v>586</v>
      </c>
      <c r="F351" s="466" t="s">
        <v>554</v>
      </c>
      <c r="G351" s="441">
        <f>G352</f>
        <v>0</v>
      </c>
      <c r="H351" s="441">
        <f>H352</f>
        <v>934.4</v>
      </c>
      <c r="I351" s="467"/>
      <c r="J351" s="441">
        <f>J352</f>
        <v>934.3</v>
      </c>
      <c r="K351" s="475">
        <v>0</v>
      </c>
      <c r="L351" s="475">
        <f t="shared" si="37"/>
        <v>99.98929794520548</v>
      </c>
    </row>
    <row r="352" spans="1:12" ht="24">
      <c r="A352" s="462" t="s">
        <v>536</v>
      </c>
      <c r="B352" s="52" t="s">
        <v>925</v>
      </c>
      <c r="C352" s="466" t="s">
        <v>418</v>
      </c>
      <c r="D352" s="466" t="s">
        <v>418</v>
      </c>
      <c r="E352" s="466" t="s">
        <v>586</v>
      </c>
      <c r="F352" s="466" t="s">
        <v>554</v>
      </c>
      <c r="G352" s="440">
        <v>0</v>
      </c>
      <c r="H352" s="440">
        <f>534.4+400</f>
        <v>934.4</v>
      </c>
      <c r="I352" s="467"/>
      <c r="J352" s="440">
        <f>534.3+400</f>
        <v>934.3</v>
      </c>
      <c r="K352" s="475">
        <v>0</v>
      </c>
      <c r="L352" s="475">
        <f t="shared" si="37"/>
        <v>99.98929794520548</v>
      </c>
    </row>
    <row r="353" spans="1:12" ht="24">
      <c r="A353" s="462" t="s">
        <v>1237</v>
      </c>
      <c r="B353" s="52" t="s">
        <v>925</v>
      </c>
      <c r="C353" s="466" t="s">
        <v>418</v>
      </c>
      <c r="D353" s="466" t="s">
        <v>418</v>
      </c>
      <c r="E353" s="466" t="s">
        <v>586</v>
      </c>
      <c r="F353" s="466" t="s">
        <v>446</v>
      </c>
      <c r="G353" s="441">
        <f>G354</f>
        <v>0</v>
      </c>
      <c r="H353" s="441">
        <f>H354</f>
        <v>400</v>
      </c>
      <c r="I353" s="467"/>
      <c r="J353" s="441">
        <f>J354</f>
        <v>400</v>
      </c>
      <c r="K353" s="475">
        <v>0</v>
      </c>
      <c r="L353" s="475">
        <f t="shared" si="37"/>
        <v>100</v>
      </c>
    </row>
    <row r="354" spans="1:12" ht="24">
      <c r="A354" s="462" t="s">
        <v>585</v>
      </c>
      <c r="B354" s="52" t="s">
        <v>925</v>
      </c>
      <c r="C354" s="466" t="s">
        <v>418</v>
      </c>
      <c r="D354" s="466" t="s">
        <v>418</v>
      </c>
      <c r="E354" s="466" t="s">
        <v>586</v>
      </c>
      <c r="F354" s="466" t="s">
        <v>446</v>
      </c>
      <c r="G354" s="441">
        <f>G355</f>
        <v>0</v>
      </c>
      <c r="H354" s="441">
        <f>H355</f>
        <v>400</v>
      </c>
      <c r="I354" s="467"/>
      <c r="J354" s="441">
        <f>J355</f>
        <v>400</v>
      </c>
      <c r="K354" s="475">
        <v>0</v>
      </c>
      <c r="L354" s="475">
        <f t="shared" si="37"/>
        <v>100</v>
      </c>
    </row>
    <row r="355" spans="1:12" ht="24">
      <c r="A355" s="462" t="s">
        <v>588</v>
      </c>
      <c r="B355" s="52" t="s">
        <v>925</v>
      </c>
      <c r="C355" s="466" t="s">
        <v>418</v>
      </c>
      <c r="D355" s="466" t="s">
        <v>418</v>
      </c>
      <c r="E355" s="466" t="s">
        <v>586</v>
      </c>
      <c r="F355" s="466" t="s">
        <v>446</v>
      </c>
      <c r="G355" s="440">
        <v>0</v>
      </c>
      <c r="H355" s="440">
        <v>400</v>
      </c>
      <c r="I355" s="467"/>
      <c r="J355" s="440">
        <f>200.1+120.5+79.4</f>
        <v>400</v>
      </c>
      <c r="K355" s="475">
        <v>0</v>
      </c>
      <c r="L355" s="475">
        <f t="shared" si="37"/>
        <v>100</v>
      </c>
    </row>
    <row r="356" spans="1:12" ht="22.5" customHeight="1">
      <c r="A356" s="469" t="s">
        <v>949</v>
      </c>
      <c r="B356" s="52" t="s">
        <v>925</v>
      </c>
      <c r="C356" s="466" t="s">
        <v>418</v>
      </c>
      <c r="D356" s="466" t="s">
        <v>418</v>
      </c>
      <c r="E356" s="466" t="s">
        <v>590</v>
      </c>
      <c r="F356" s="466"/>
      <c r="G356" s="441">
        <f aca="true" t="shared" si="38" ref="G356:H358">G357</f>
        <v>31466.9</v>
      </c>
      <c r="H356" s="441">
        <f t="shared" si="38"/>
        <v>27876</v>
      </c>
      <c r="I356" s="467"/>
      <c r="J356" s="441">
        <f>J357</f>
        <v>27826.2</v>
      </c>
      <c r="K356" s="475">
        <f>J356/G356*100</f>
        <v>88.43006460757177</v>
      </c>
      <c r="L356" s="475">
        <f t="shared" si="37"/>
        <v>99.82135170038742</v>
      </c>
    </row>
    <row r="357" spans="1:12" ht="24.75" customHeight="1">
      <c r="A357" s="462" t="s">
        <v>591</v>
      </c>
      <c r="B357" s="52" t="s">
        <v>925</v>
      </c>
      <c r="C357" s="466" t="s">
        <v>418</v>
      </c>
      <c r="D357" s="466" t="s">
        <v>418</v>
      </c>
      <c r="E357" s="466" t="s">
        <v>592</v>
      </c>
      <c r="F357" s="466"/>
      <c r="G357" s="441">
        <f t="shared" si="38"/>
        <v>31466.9</v>
      </c>
      <c r="H357" s="441">
        <f t="shared" si="38"/>
        <v>27876</v>
      </c>
      <c r="I357" s="467"/>
      <c r="J357" s="441">
        <f>J358</f>
        <v>27826.2</v>
      </c>
      <c r="K357" s="475">
        <f>J357/G357*100</f>
        <v>88.43006460757177</v>
      </c>
      <c r="L357" s="475">
        <f t="shared" si="37"/>
        <v>99.82135170038742</v>
      </c>
    </row>
    <row r="358" spans="1:12" ht="24.75" customHeight="1">
      <c r="A358" s="468" t="s">
        <v>139</v>
      </c>
      <c r="B358" s="52" t="s">
        <v>925</v>
      </c>
      <c r="C358" s="466" t="s">
        <v>418</v>
      </c>
      <c r="D358" s="466" t="s">
        <v>418</v>
      </c>
      <c r="E358" s="466" t="s">
        <v>593</v>
      </c>
      <c r="F358" s="466" t="s">
        <v>1454</v>
      </c>
      <c r="G358" s="441">
        <f t="shared" si="38"/>
        <v>31466.9</v>
      </c>
      <c r="H358" s="441">
        <f t="shared" si="38"/>
        <v>27876</v>
      </c>
      <c r="I358" s="467"/>
      <c r="J358" s="441">
        <f>J359</f>
        <v>27826.2</v>
      </c>
      <c r="K358" s="475">
        <f>J358/G358*100</f>
        <v>88.43006460757177</v>
      </c>
      <c r="L358" s="475">
        <f t="shared" si="37"/>
        <v>99.82135170038742</v>
      </c>
    </row>
    <row r="359" spans="1:12" ht="24">
      <c r="A359" s="462" t="s">
        <v>141</v>
      </c>
      <c r="B359" s="52" t="s">
        <v>925</v>
      </c>
      <c r="C359" s="466" t="s">
        <v>418</v>
      </c>
      <c r="D359" s="466" t="s">
        <v>418</v>
      </c>
      <c r="E359" s="466" t="s">
        <v>593</v>
      </c>
      <c r="F359" s="466" t="s">
        <v>554</v>
      </c>
      <c r="G359" s="440">
        <v>31466.9</v>
      </c>
      <c r="H359" s="440">
        <f>29383+2083.9-2083.9+275+18-1450+150-500</f>
        <v>27876</v>
      </c>
      <c r="I359" s="467"/>
      <c r="J359" s="440">
        <v>27826.2</v>
      </c>
      <c r="K359" s="475">
        <f>J359/G359*100</f>
        <v>88.43006460757177</v>
      </c>
      <c r="L359" s="475">
        <f t="shared" si="37"/>
        <v>99.82135170038742</v>
      </c>
    </row>
    <row r="360" spans="1:12" ht="26.25" customHeight="1">
      <c r="A360" s="462" t="s">
        <v>537</v>
      </c>
      <c r="B360" s="52" t="s">
        <v>925</v>
      </c>
      <c r="C360" s="466" t="s">
        <v>418</v>
      </c>
      <c r="D360" s="466" t="s">
        <v>418</v>
      </c>
      <c r="E360" s="466" t="s">
        <v>593</v>
      </c>
      <c r="F360" s="466" t="s">
        <v>554</v>
      </c>
      <c r="G360" s="440">
        <f>2800</f>
        <v>2800</v>
      </c>
      <c r="H360" s="440">
        <f>2800+275</f>
        <v>3075</v>
      </c>
      <c r="I360" s="467"/>
      <c r="J360" s="440">
        <v>3074.5</v>
      </c>
      <c r="K360" s="475">
        <f>J360/G360*100</f>
        <v>109.80357142857142</v>
      </c>
      <c r="L360" s="475">
        <f t="shared" si="37"/>
        <v>99.98373983739837</v>
      </c>
    </row>
    <row r="361" spans="1:12" ht="26.25" customHeight="1">
      <c r="A361" s="462" t="s">
        <v>1268</v>
      </c>
      <c r="B361" s="52" t="s">
        <v>925</v>
      </c>
      <c r="C361" s="466" t="s">
        <v>418</v>
      </c>
      <c r="D361" s="466" t="s">
        <v>418</v>
      </c>
      <c r="E361" s="466" t="s">
        <v>593</v>
      </c>
      <c r="F361" s="466" t="s">
        <v>554</v>
      </c>
      <c r="G361" s="440">
        <v>0</v>
      </c>
      <c r="H361" s="440">
        <f>18+8</f>
        <v>26</v>
      </c>
      <c r="I361" s="467"/>
      <c r="J361" s="440">
        <v>25.3</v>
      </c>
      <c r="K361" s="475">
        <v>0</v>
      </c>
      <c r="L361" s="475">
        <f t="shared" si="37"/>
        <v>97.3076923076923</v>
      </c>
    </row>
    <row r="362" spans="1:12" ht="17.25" customHeight="1">
      <c r="A362" s="462" t="s">
        <v>595</v>
      </c>
      <c r="B362" s="52" t="s">
        <v>925</v>
      </c>
      <c r="C362" s="466" t="s">
        <v>418</v>
      </c>
      <c r="D362" s="466" t="s">
        <v>418</v>
      </c>
      <c r="E362" s="466" t="s">
        <v>593</v>
      </c>
      <c r="F362" s="466" t="s">
        <v>554</v>
      </c>
      <c r="G362" s="440">
        <v>0</v>
      </c>
      <c r="H362" s="440">
        <v>150</v>
      </c>
      <c r="I362" s="467"/>
      <c r="J362" s="440">
        <v>140.8</v>
      </c>
      <c r="K362" s="475">
        <v>0</v>
      </c>
      <c r="L362" s="475">
        <f aca="true" t="shared" si="39" ref="L362:L388">J362/H362*100</f>
        <v>93.86666666666667</v>
      </c>
    </row>
    <row r="363" spans="1:12" ht="49.5" customHeight="1">
      <c r="A363" s="57" t="s">
        <v>1054</v>
      </c>
      <c r="B363" s="52" t="s">
        <v>925</v>
      </c>
      <c r="C363" s="55" t="s">
        <v>418</v>
      </c>
      <c r="D363" s="55" t="s">
        <v>418</v>
      </c>
      <c r="E363" s="55" t="s">
        <v>1055</v>
      </c>
      <c r="F363" s="55" t="s">
        <v>920</v>
      </c>
      <c r="G363" s="436">
        <f>G364</f>
        <v>0</v>
      </c>
      <c r="H363" s="436">
        <f>H364</f>
        <v>700</v>
      </c>
      <c r="J363" s="436">
        <f>J364</f>
        <v>700</v>
      </c>
      <c r="K363" s="475">
        <v>0</v>
      </c>
      <c r="L363" s="475">
        <f t="shared" si="39"/>
        <v>100</v>
      </c>
    </row>
    <row r="364" spans="1:12" ht="26.25" customHeight="1">
      <c r="A364" s="62" t="s">
        <v>139</v>
      </c>
      <c r="B364" s="52" t="s">
        <v>925</v>
      </c>
      <c r="C364" s="55" t="s">
        <v>418</v>
      </c>
      <c r="D364" s="55" t="s">
        <v>418</v>
      </c>
      <c r="E364" s="55" t="s">
        <v>1055</v>
      </c>
      <c r="F364" s="55" t="s">
        <v>1454</v>
      </c>
      <c r="G364" s="436">
        <f>G365</f>
        <v>0</v>
      </c>
      <c r="H364" s="436">
        <f>H365</f>
        <v>700</v>
      </c>
      <c r="J364" s="436">
        <f>J365</f>
        <v>700</v>
      </c>
      <c r="K364" s="475">
        <v>0</v>
      </c>
      <c r="L364" s="475">
        <f t="shared" si="39"/>
        <v>100</v>
      </c>
    </row>
    <row r="365" spans="1:12" ht="18.75" customHeight="1">
      <c r="A365" s="57" t="s">
        <v>553</v>
      </c>
      <c r="B365" s="52" t="s">
        <v>925</v>
      </c>
      <c r="C365" s="55" t="s">
        <v>418</v>
      </c>
      <c r="D365" s="55" t="s">
        <v>418</v>
      </c>
      <c r="E365" s="55" t="s">
        <v>1055</v>
      </c>
      <c r="F365" s="55" t="s">
        <v>554</v>
      </c>
      <c r="G365" s="437">
        <v>0</v>
      </c>
      <c r="H365" s="437">
        <v>700</v>
      </c>
      <c r="J365" s="437">
        <v>700</v>
      </c>
      <c r="K365" s="475">
        <v>0</v>
      </c>
      <c r="L365" s="475">
        <f t="shared" si="39"/>
        <v>100</v>
      </c>
    </row>
    <row r="366" spans="1:12" ht="15.75">
      <c r="A366" s="58" t="s">
        <v>392</v>
      </c>
      <c r="B366" s="52" t="s">
        <v>925</v>
      </c>
      <c r="C366" s="55" t="s">
        <v>419</v>
      </c>
      <c r="D366" s="55"/>
      <c r="E366" s="55"/>
      <c r="F366" s="55"/>
      <c r="G366" s="436">
        <f>G367+G417</f>
        <v>376620</v>
      </c>
      <c r="H366" s="436">
        <f>H367+H417</f>
        <v>384828.8</v>
      </c>
      <c r="J366" s="436">
        <f>J367+J417</f>
        <v>382785.6</v>
      </c>
      <c r="K366" s="460">
        <f>J366/G366*100</f>
        <v>101.637087780787</v>
      </c>
      <c r="L366" s="460">
        <f t="shared" si="39"/>
        <v>99.46906260654089</v>
      </c>
    </row>
    <row r="367" spans="1:12" ht="15.75">
      <c r="A367" s="61" t="s">
        <v>1133</v>
      </c>
      <c r="B367" s="52" t="s">
        <v>925</v>
      </c>
      <c r="C367" s="55" t="s">
        <v>419</v>
      </c>
      <c r="D367" s="55" t="s">
        <v>1105</v>
      </c>
      <c r="E367" s="55"/>
      <c r="F367" s="55"/>
      <c r="G367" s="436">
        <f>G368</f>
        <v>242823</v>
      </c>
      <c r="H367" s="436">
        <f>H368+H414</f>
        <v>277361.8</v>
      </c>
      <c r="J367" s="436">
        <f>J368+J414</f>
        <v>276229.2</v>
      </c>
      <c r="K367" s="460">
        <f>J367/G367*100</f>
        <v>113.75742825020694</v>
      </c>
      <c r="L367" s="460">
        <f t="shared" si="39"/>
        <v>99.59165249143899</v>
      </c>
    </row>
    <row r="368" spans="1:12" ht="24">
      <c r="A368" s="382" t="s">
        <v>608</v>
      </c>
      <c r="B368" s="52" t="s">
        <v>925</v>
      </c>
      <c r="C368" s="55" t="s">
        <v>419</v>
      </c>
      <c r="D368" s="55" t="s">
        <v>1105</v>
      </c>
      <c r="E368" s="55" t="s">
        <v>1251</v>
      </c>
      <c r="F368" s="55"/>
      <c r="G368" s="436">
        <f>G369+G373+G375+G377+G382+G392+G395+G414+G399</f>
        <v>242823</v>
      </c>
      <c r="H368" s="436">
        <f>H369+H373+H375+H377+H382+H392+H395+H399</f>
        <v>275961.8</v>
      </c>
      <c r="J368" s="436">
        <f>J369+J373+J375+J377+J382+J392+J395+J399</f>
        <v>274831.5</v>
      </c>
      <c r="K368" s="475">
        <f>J368/G368*100</f>
        <v>113.18182379758095</v>
      </c>
      <c r="L368" s="475">
        <f t="shared" si="39"/>
        <v>99.590414325461</v>
      </c>
    </row>
    <row r="369" spans="1:12" ht="60">
      <c r="A369" s="394" t="s">
        <v>609</v>
      </c>
      <c r="B369" s="52" t="s">
        <v>925</v>
      </c>
      <c r="C369" s="55" t="s">
        <v>419</v>
      </c>
      <c r="D369" s="55" t="s">
        <v>1105</v>
      </c>
      <c r="E369" s="55" t="s">
        <v>610</v>
      </c>
      <c r="F369" s="55"/>
      <c r="G369" s="436">
        <f>G370</f>
        <v>0</v>
      </c>
      <c r="H369" s="436">
        <f>H370</f>
        <v>6260</v>
      </c>
      <c r="J369" s="436">
        <f>J370</f>
        <v>6260</v>
      </c>
      <c r="K369" s="475">
        <v>0</v>
      </c>
      <c r="L369" s="475">
        <f t="shared" si="39"/>
        <v>100</v>
      </c>
    </row>
    <row r="370" spans="1:12" ht="24">
      <c r="A370" s="62" t="s">
        <v>139</v>
      </c>
      <c r="B370" s="52" t="s">
        <v>925</v>
      </c>
      <c r="C370" s="55" t="s">
        <v>419</v>
      </c>
      <c r="D370" s="55" t="s">
        <v>1105</v>
      </c>
      <c r="E370" s="55" t="s">
        <v>610</v>
      </c>
      <c r="F370" s="55" t="s">
        <v>1454</v>
      </c>
      <c r="G370" s="436">
        <f>G371+G372</f>
        <v>0</v>
      </c>
      <c r="H370" s="436">
        <f>H371+H372</f>
        <v>6260</v>
      </c>
      <c r="J370" s="436">
        <f>J371+J372</f>
        <v>6260</v>
      </c>
      <c r="K370" s="475">
        <v>0</v>
      </c>
      <c r="L370" s="475">
        <f t="shared" si="39"/>
        <v>100</v>
      </c>
    </row>
    <row r="371" spans="1:12" ht="24">
      <c r="A371" s="57" t="s">
        <v>553</v>
      </c>
      <c r="B371" s="52" t="s">
        <v>925</v>
      </c>
      <c r="C371" s="55" t="s">
        <v>419</v>
      </c>
      <c r="D371" s="55" t="s">
        <v>1105</v>
      </c>
      <c r="E371" s="55" t="s">
        <v>610</v>
      </c>
      <c r="F371" s="55" t="s">
        <v>554</v>
      </c>
      <c r="G371" s="437">
        <v>0</v>
      </c>
      <c r="H371" s="437">
        <v>5740</v>
      </c>
      <c r="J371" s="437">
        <v>5740</v>
      </c>
      <c r="K371" s="475">
        <v>0</v>
      </c>
      <c r="L371" s="475">
        <f t="shared" si="39"/>
        <v>100</v>
      </c>
    </row>
    <row r="372" spans="1:12" ht="24">
      <c r="A372" s="57" t="s">
        <v>447</v>
      </c>
      <c r="B372" s="52" t="s">
        <v>925</v>
      </c>
      <c r="C372" s="55" t="s">
        <v>419</v>
      </c>
      <c r="D372" s="55" t="s">
        <v>1105</v>
      </c>
      <c r="E372" s="55" t="s">
        <v>610</v>
      </c>
      <c r="F372" s="55" t="s">
        <v>446</v>
      </c>
      <c r="G372" s="437">
        <v>0</v>
      </c>
      <c r="H372" s="437">
        <v>520</v>
      </c>
      <c r="J372" s="437">
        <v>520</v>
      </c>
      <c r="K372" s="475">
        <v>0</v>
      </c>
      <c r="L372" s="475">
        <f t="shared" si="39"/>
        <v>100</v>
      </c>
    </row>
    <row r="373" spans="1:12" ht="24">
      <c r="A373" s="62" t="s">
        <v>950</v>
      </c>
      <c r="B373" s="52" t="s">
        <v>925</v>
      </c>
      <c r="C373" s="55" t="s">
        <v>419</v>
      </c>
      <c r="D373" s="55" t="s">
        <v>1105</v>
      </c>
      <c r="E373" s="55" t="s">
        <v>612</v>
      </c>
      <c r="F373" s="55" t="s">
        <v>1454</v>
      </c>
      <c r="G373" s="436">
        <f>G374</f>
        <v>172892</v>
      </c>
      <c r="H373" s="436">
        <f>H374</f>
        <v>175962.99999999997</v>
      </c>
      <c r="J373" s="436">
        <f>J374</f>
        <v>175962.99999999997</v>
      </c>
      <c r="K373" s="475">
        <f>J373/G373*100</f>
        <v>101.77625338361518</v>
      </c>
      <c r="L373" s="475">
        <f t="shared" si="39"/>
        <v>100</v>
      </c>
    </row>
    <row r="374" spans="1:12" ht="24">
      <c r="A374" s="57" t="s">
        <v>512</v>
      </c>
      <c r="B374" s="52" t="s">
        <v>925</v>
      </c>
      <c r="C374" s="55" t="s">
        <v>419</v>
      </c>
      <c r="D374" s="55" t="s">
        <v>1105</v>
      </c>
      <c r="E374" s="55" t="s">
        <v>612</v>
      </c>
      <c r="F374" s="55" t="s">
        <v>554</v>
      </c>
      <c r="G374" s="437">
        <v>172892</v>
      </c>
      <c r="H374" s="437">
        <f>169248+5485+209.1+156.3+195.8+160.4+399.9+955+0.1-2076.6+10-170+90+1300</f>
        <v>175962.99999999997</v>
      </c>
      <c r="J374" s="437">
        <f>169248+5485+209.1+156.3+195.8+160.4+399.9+955+0.1-2076.6+10-170+90+1300</f>
        <v>175962.99999999997</v>
      </c>
      <c r="K374" s="475">
        <f>J374/G374*100</f>
        <v>101.77625338361518</v>
      </c>
      <c r="L374" s="475">
        <f t="shared" si="39"/>
        <v>100</v>
      </c>
    </row>
    <row r="375" spans="1:12" ht="24">
      <c r="A375" s="62" t="s">
        <v>950</v>
      </c>
      <c r="B375" s="52" t="s">
        <v>925</v>
      </c>
      <c r="C375" s="55" t="s">
        <v>419</v>
      </c>
      <c r="D375" s="55" t="s">
        <v>1105</v>
      </c>
      <c r="E375" s="55" t="s">
        <v>614</v>
      </c>
      <c r="F375" s="55" t="s">
        <v>1454</v>
      </c>
      <c r="G375" s="436">
        <f>G376</f>
        <v>0</v>
      </c>
      <c r="H375" s="436">
        <f>H376</f>
        <v>3714</v>
      </c>
      <c r="J375" s="436">
        <f>J376</f>
        <v>3704.1</v>
      </c>
      <c r="K375" s="475">
        <v>0</v>
      </c>
      <c r="L375" s="475">
        <f t="shared" si="39"/>
        <v>99.73344103392569</v>
      </c>
    </row>
    <row r="376" spans="1:12" ht="24">
      <c r="A376" s="57" t="s">
        <v>553</v>
      </c>
      <c r="B376" s="52" t="s">
        <v>925</v>
      </c>
      <c r="C376" s="55" t="s">
        <v>419</v>
      </c>
      <c r="D376" s="55" t="s">
        <v>1105</v>
      </c>
      <c r="E376" s="55" t="s">
        <v>614</v>
      </c>
      <c r="F376" s="55" t="s">
        <v>554</v>
      </c>
      <c r="G376" s="437">
        <v>0</v>
      </c>
      <c r="H376" s="437">
        <f>3644+140-70</f>
        <v>3714</v>
      </c>
      <c r="J376" s="437">
        <v>3704.1</v>
      </c>
      <c r="K376" s="475">
        <v>0</v>
      </c>
      <c r="L376" s="475">
        <f t="shared" si="39"/>
        <v>99.73344103392569</v>
      </c>
    </row>
    <row r="377" spans="1:12" ht="24">
      <c r="A377" s="62" t="s">
        <v>139</v>
      </c>
      <c r="B377" s="52" t="s">
        <v>925</v>
      </c>
      <c r="C377" s="55" t="s">
        <v>419</v>
      </c>
      <c r="D377" s="55" t="s">
        <v>1105</v>
      </c>
      <c r="E377" s="55" t="s">
        <v>1404</v>
      </c>
      <c r="F377" s="55" t="s">
        <v>1454</v>
      </c>
      <c r="G377" s="436">
        <f>G378+G380</f>
        <v>5000</v>
      </c>
      <c r="H377" s="436">
        <f>H378+H380</f>
        <v>10224.5</v>
      </c>
      <c r="J377" s="436">
        <f>J378+J380</f>
        <v>10220.199999999999</v>
      </c>
      <c r="K377" s="475">
        <f>J377/G377*100</f>
        <v>204.404</v>
      </c>
      <c r="L377" s="475">
        <f t="shared" si="39"/>
        <v>99.95794415374833</v>
      </c>
    </row>
    <row r="378" spans="1:12" ht="24">
      <c r="A378" s="57" t="s">
        <v>141</v>
      </c>
      <c r="B378" s="52" t="s">
        <v>925</v>
      </c>
      <c r="C378" s="55" t="s">
        <v>419</v>
      </c>
      <c r="D378" s="55" t="s">
        <v>1105</v>
      </c>
      <c r="E378" s="55" t="s">
        <v>1404</v>
      </c>
      <c r="F378" s="55" t="s">
        <v>554</v>
      </c>
      <c r="G378" s="436">
        <f>G379</f>
        <v>5000</v>
      </c>
      <c r="H378" s="436">
        <f>H379</f>
        <v>8478</v>
      </c>
      <c r="J378" s="436">
        <f>J379</f>
        <v>8473.8</v>
      </c>
      <c r="K378" s="475">
        <f>J378/G378*100</f>
        <v>169.47599999999997</v>
      </c>
      <c r="L378" s="475">
        <f t="shared" si="39"/>
        <v>99.95046001415427</v>
      </c>
    </row>
    <row r="379" spans="1:12" ht="24">
      <c r="A379" s="57" t="s">
        <v>1075</v>
      </c>
      <c r="B379" s="52" t="s">
        <v>925</v>
      </c>
      <c r="C379" s="55" t="s">
        <v>419</v>
      </c>
      <c r="D379" s="55" t="s">
        <v>1105</v>
      </c>
      <c r="E379" s="55" t="s">
        <v>1404</v>
      </c>
      <c r="F379" s="55" t="s">
        <v>554</v>
      </c>
      <c r="G379" s="437">
        <f>5000</f>
        <v>5000</v>
      </c>
      <c r="H379" s="437">
        <f>5000-580+800+1338+350+1450+120</f>
        <v>8478</v>
      </c>
      <c r="J379" s="437">
        <v>8473.8</v>
      </c>
      <c r="K379" s="475">
        <f>J379/G379*100</f>
        <v>169.47599999999997</v>
      </c>
      <c r="L379" s="475">
        <f t="shared" si="39"/>
        <v>99.95046001415427</v>
      </c>
    </row>
    <row r="380" spans="1:12" ht="24">
      <c r="A380" s="57" t="s">
        <v>1237</v>
      </c>
      <c r="B380" s="52" t="s">
        <v>925</v>
      </c>
      <c r="C380" s="55" t="s">
        <v>419</v>
      </c>
      <c r="D380" s="55" t="s">
        <v>1105</v>
      </c>
      <c r="E380" s="55" t="s">
        <v>1404</v>
      </c>
      <c r="F380" s="55" t="s">
        <v>446</v>
      </c>
      <c r="G380" s="436">
        <f>G381</f>
        <v>0</v>
      </c>
      <c r="H380" s="436">
        <f>H381</f>
        <v>1746.5</v>
      </c>
      <c r="J380" s="436">
        <f>J381</f>
        <v>1746.4</v>
      </c>
      <c r="K380" s="475">
        <v>0</v>
      </c>
      <c r="L380" s="475">
        <f t="shared" si="39"/>
        <v>99.99427426281135</v>
      </c>
    </row>
    <row r="381" spans="1:12" ht="24">
      <c r="A381" s="57" t="s">
        <v>1075</v>
      </c>
      <c r="B381" s="52" t="s">
        <v>925</v>
      </c>
      <c r="C381" s="55" t="s">
        <v>419</v>
      </c>
      <c r="D381" s="55" t="s">
        <v>1105</v>
      </c>
      <c r="E381" s="55" t="s">
        <v>1404</v>
      </c>
      <c r="F381" s="55" t="s">
        <v>446</v>
      </c>
      <c r="G381" s="437">
        <v>0</v>
      </c>
      <c r="H381" s="437">
        <f>580+451+162-162+715.5</f>
        <v>1746.5</v>
      </c>
      <c r="J381" s="437">
        <v>1746.4</v>
      </c>
      <c r="K381" s="475">
        <v>0</v>
      </c>
      <c r="L381" s="475">
        <f t="shared" si="39"/>
        <v>99.99427426281135</v>
      </c>
    </row>
    <row r="382" spans="1:12" ht="24">
      <c r="A382" s="62" t="s">
        <v>139</v>
      </c>
      <c r="B382" s="52" t="s">
        <v>925</v>
      </c>
      <c r="C382" s="55" t="s">
        <v>419</v>
      </c>
      <c r="D382" s="55" t="s">
        <v>1105</v>
      </c>
      <c r="E382" s="55" t="s">
        <v>612</v>
      </c>
      <c r="F382" s="55" t="s">
        <v>1454</v>
      </c>
      <c r="G382" s="436">
        <f>G383</f>
        <v>23484</v>
      </c>
      <c r="H382" s="436">
        <f>H383</f>
        <v>32820.5</v>
      </c>
      <c r="J382" s="436">
        <f>J383</f>
        <v>31746.6</v>
      </c>
      <c r="K382" s="475">
        <f>J382/G382*100</f>
        <v>135.1839550332141</v>
      </c>
      <c r="L382" s="475">
        <f t="shared" si="39"/>
        <v>96.72795965935924</v>
      </c>
    </row>
    <row r="383" spans="1:12" ht="24">
      <c r="A383" s="57" t="s">
        <v>1237</v>
      </c>
      <c r="B383" s="52" t="s">
        <v>925</v>
      </c>
      <c r="C383" s="55" t="s">
        <v>419</v>
      </c>
      <c r="D383" s="55" t="s">
        <v>1105</v>
      </c>
      <c r="E383" s="55" t="s">
        <v>612</v>
      </c>
      <c r="F383" s="55" t="s">
        <v>446</v>
      </c>
      <c r="G383" s="437">
        <f>23484</f>
        <v>23484</v>
      </c>
      <c r="H383" s="437">
        <v>32820.5</v>
      </c>
      <c r="J383" s="437">
        <v>31746.6</v>
      </c>
      <c r="K383" s="475">
        <f>J383/G383*100</f>
        <v>135.1839550332141</v>
      </c>
      <c r="L383" s="475">
        <f t="shared" si="39"/>
        <v>96.72795965935924</v>
      </c>
    </row>
    <row r="384" spans="1:12" ht="24">
      <c r="A384" s="57" t="s">
        <v>615</v>
      </c>
      <c r="B384" s="52" t="s">
        <v>925</v>
      </c>
      <c r="C384" s="55" t="s">
        <v>419</v>
      </c>
      <c r="D384" s="55" t="s">
        <v>1105</v>
      </c>
      <c r="E384" s="55" t="s">
        <v>612</v>
      </c>
      <c r="F384" s="55" t="s">
        <v>446</v>
      </c>
      <c r="G384" s="437">
        <v>0</v>
      </c>
      <c r="H384" s="437">
        <v>152.3</v>
      </c>
      <c r="J384" s="437">
        <v>152.3</v>
      </c>
      <c r="K384" s="475">
        <v>0</v>
      </c>
      <c r="L384" s="475">
        <f t="shared" si="39"/>
        <v>100</v>
      </c>
    </row>
    <row r="385" spans="1:12" ht="24">
      <c r="A385" s="57" t="s">
        <v>616</v>
      </c>
      <c r="B385" s="52" t="s">
        <v>925</v>
      </c>
      <c r="C385" s="55" t="s">
        <v>419</v>
      </c>
      <c r="D385" s="55" t="s">
        <v>1105</v>
      </c>
      <c r="E385" s="55" t="s">
        <v>612</v>
      </c>
      <c r="F385" s="55" t="s">
        <v>446</v>
      </c>
      <c r="G385" s="437">
        <v>0</v>
      </c>
      <c r="H385" s="437">
        <v>1450</v>
      </c>
      <c r="J385" s="437">
        <v>1450</v>
      </c>
      <c r="K385" s="475">
        <v>0</v>
      </c>
      <c r="L385" s="475">
        <f t="shared" si="39"/>
        <v>100</v>
      </c>
    </row>
    <row r="386" spans="1:12" ht="24">
      <c r="A386" s="57" t="s">
        <v>617</v>
      </c>
      <c r="B386" s="52" t="s">
        <v>925</v>
      </c>
      <c r="C386" s="55" t="s">
        <v>419</v>
      </c>
      <c r="D386" s="55" t="s">
        <v>1105</v>
      </c>
      <c r="E386" s="55" t="s">
        <v>612</v>
      </c>
      <c r="F386" s="55" t="s">
        <v>446</v>
      </c>
      <c r="G386" s="437">
        <v>0</v>
      </c>
      <c r="H386" s="437">
        <v>1437</v>
      </c>
      <c r="J386" s="437">
        <v>1427.4</v>
      </c>
      <c r="K386" s="475">
        <v>0</v>
      </c>
      <c r="L386" s="475">
        <f t="shared" si="39"/>
        <v>99.33194154488518</v>
      </c>
    </row>
    <row r="387" spans="1:12" ht="24">
      <c r="A387" s="57" t="s">
        <v>1373</v>
      </c>
      <c r="B387" s="52" t="s">
        <v>925</v>
      </c>
      <c r="C387" s="55" t="s">
        <v>419</v>
      </c>
      <c r="D387" s="55" t="s">
        <v>1105</v>
      </c>
      <c r="E387" s="55" t="s">
        <v>612</v>
      </c>
      <c r="F387" s="55" t="s">
        <v>446</v>
      </c>
      <c r="G387" s="437">
        <v>0</v>
      </c>
      <c r="H387" s="437">
        <f>1000+1800</f>
        <v>2800</v>
      </c>
      <c r="J387" s="437">
        <f>1000+1800</f>
        <v>2800</v>
      </c>
      <c r="K387" s="475">
        <v>0</v>
      </c>
      <c r="L387" s="475">
        <f t="shared" si="39"/>
        <v>100</v>
      </c>
    </row>
    <row r="388" spans="1:12" ht="24">
      <c r="A388" s="57" t="s">
        <v>1374</v>
      </c>
      <c r="B388" s="52" t="s">
        <v>925</v>
      </c>
      <c r="C388" s="55" t="s">
        <v>419</v>
      </c>
      <c r="D388" s="55" t="s">
        <v>1105</v>
      </c>
      <c r="E388" s="55" t="s">
        <v>612</v>
      </c>
      <c r="F388" s="55" t="s">
        <v>446</v>
      </c>
      <c r="G388" s="437">
        <v>0</v>
      </c>
      <c r="H388" s="437">
        <v>162</v>
      </c>
      <c r="J388" s="437">
        <v>162</v>
      </c>
      <c r="K388" s="475">
        <v>0</v>
      </c>
      <c r="L388" s="475">
        <f t="shared" si="39"/>
        <v>100</v>
      </c>
    </row>
    <row r="389" spans="1:12" ht="24">
      <c r="A389" s="57" t="s">
        <v>1375</v>
      </c>
      <c r="B389" s="52" t="s">
        <v>925</v>
      </c>
      <c r="C389" s="55" t="s">
        <v>419</v>
      </c>
      <c r="D389" s="55" t="s">
        <v>1105</v>
      </c>
      <c r="E389" s="55" t="s">
        <v>612</v>
      </c>
      <c r="F389" s="55" t="s">
        <v>446</v>
      </c>
      <c r="G389" s="437">
        <v>0</v>
      </c>
      <c r="H389" s="437">
        <f>48+98.4</f>
        <v>146.4</v>
      </c>
      <c r="J389" s="437">
        <f>48+98.4</f>
        <v>146.4</v>
      </c>
      <c r="K389" s="475">
        <v>0</v>
      </c>
      <c r="L389" s="475">
        <f aca="true" t="shared" si="40" ref="L389:L420">J389/H389*100</f>
        <v>100</v>
      </c>
    </row>
    <row r="390" spans="1:12" ht="24">
      <c r="A390" s="57" t="s">
        <v>1376</v>
      </c>
      <c r="B390" s="52" t="s">
        <v>925</v>
      </c>
      <c r="C390" s="55" t="s">
        <v>419</v>
      </c>
      <c r="D390" s="55" t="s">
        <v>1105</v>
      </c>
      <c r="E390" s="55" t="s">
        <v>612</v>
      </c>
      <c r="F390" s="55" t="s">
        <v>446</v>
      </c>
      <c r="G390" s="437">
        <v>0</v>
      </c>
      <c r="H390" s="437">
        <f>572.8-98.4</f>
        <v>474.4</v>
      </c>
      <c r="J390" s="437">
        <v>449</v>
      </c>
      <c r="K390" s="475">
        <v>0</v>
      </c>
      <c r="L390" s="475">
        <f t="shared" si="40"/>
        <v>94.64586846543001</v>
      </c>
    </row>
    <row r="391" spans="1:12" ht="24">
      <c r="A391" s="62" t="s">
        <v>1406</v>
      </c>
      <c r="B391" s="52" t="s">
        <v>925</v>
      </c>
      <c r="C391" s="55" t="s">
        <v>419</v>
      </c>
      <c r="D391" s="55" t="s">
        <v>1105</v>
      </c>
      <c r="E391" s="55" t="s">
        <v>1407</v>
      </c>
      <c r="F391" s="55"/>
      <c r="G391" s="463">
        <f>G392+G395</f>
        <v>41447</v>
      </c>
      <c r="H391" s="463">
        <f>H392+H395</f>
        <v>43227</v>
      </c>
      <c r="I391" s="463">
        <f>I392+I395</f>
        <v>0</v>
      </c>
      <c r="J391" s="463">
        <f>J392+J395</f>
        <v>43194.7</v>
      </c>
      <c r="K391" s="475">
        <f>J391/G391*100</f>
        <v>104.2167104977441</v>
      </c>
      <c r="L391" s="475">
        <f t="shared" si="40"/>
        <v>99.92527818261733</v>
      </c>
    </row>
    <row r="392" spans="1:12" ht="60">
      <c r="A392" s="62" t="s">
        <v>1408</v>
      </c>
      <c r="B392" s="52" t="s">
        <v>925</v>
      </c>
      <c r="C392" s="55" t="s">
        <v>419</v>
      </c>
      <c r="D392" s="55" t="s">
        <v>1105</v>
      </c>
      <c r="E392" s="55" t="s">
        <v>1409</v>
      </c>
      <c r="F392" s="55"/>
      <c r="G392" s="436">
        <f>G393</f>
        <v>0</v>
      </c>
      <c r="H392" s="436">
        <f>H393</f>
        <v>1820</v>
      </c>
      <c r="J392" s="436">
        <f>J393</f>
        <v>1820</v>
      </c>
      <c r="K392" s="475">
        <v>0</v>
      </c>
      <c r="L392" s="475">
        <f t="shared" si="40"/>
        <v>100</v>
      </c>
    </row>
    <row r="393" spans="1:12" ht="24">
      <c r="A393" s="62" t="s">
        <v>139</v>
      </c>
      <c r="B393" s="52" t="s">
        <v>925</v>
      </c>
      <c r="C393" s="55" t="s">
        <v>419</v>
      </c>
      <c r="D393" s="55" t="s">
        <v>1105</v>
      </c>
      <c r="E393" s="55" t="s">
        <v>1409</v>
      </c>
      <c r="F393" s="55" t="s">
        <v>1454</v>
      </c>
      <c r="G393" s="436">
        <f>G394</f>
        <v>0</v>
      </c>
      <c r="H393" s="436">
        <f>H394</f>
        <v>1820</v>
      </c>
      <c r="J393" s="436">
        <f>J394</f>
        <v>1820</v>
      </c>
      <c r="K393" s="475">
        <v>0</v>
      </c>
      <c r="L393" s="475">
        <f t="shared" si="40"/>
        <v>100</v>
      </c>
    </row>
    <row r="394" spans="1:12" ht="24">
      <c r="A394" s="57" t="s">
        <v>553</v>
      </c>
      <c r="B394" s="52" t="s">
        <v>925</v>
      </c>
      <c r="C394" s="55" t="s">
        <v>419</v>
      </c>
      <c r="D394" s="55" t="s">
        <v>1105</v>
      </c>
      <c r="E394" s="55" t="s">
        <v>1409</v>
      </c>
      <c r="F394" s="55" t="s">
        <v>554</v>
      </c>
      <c r="G394" s="437">
        <v>0</v>
      </c>
      <c r="H394" s="437">
        <v>1820</v>
      </c>
      <c r="J394" s="437">
        <v>1820</v>
      </c>
      <c r="K394" s="475">
        <v>0</v>
      </c>
      <c r="L394" s="475">
        <f t="shared" si="40"/>
        <v>100</v>
      </c>
    </row>
    <row r="395" spans="1:12" ht="24">
      <c r="A395" s="62" t="s">
        <v>1406</v>
      </c>
      <c r="B395" s="52" t="s">
        <v>925</v>
      </c>
      <c r="C395" s="55" t="s">
        <v>419</v>
      </c>
      <c r="D395" s="55" t="s">
        <v>1105</v>
      </c>
      <c r="E395" s="55" t="s">
        <v>1407</v>
      </c>
      <c r="F395" s="55"/>
      <c r="G395" s="436">
        <f>G396</f>
        <v>41447</v>
      </c>
      <c r="H395" s="436">
        <f>H396</f>
        <v>41407</v>
      </c>
      <c r="J395" s="436">
        <f>J396</f>
        <v>41374.7</v>
      </c>
      <c r="K395" s="475">
        <f>J395/G395*100</f>
        <v>99.82556035418727</v>
      </c>
      <c r="L395" s="475">
        <f t="shared" si="40"/>
        <v>99.92199386577148</v>
      </c>
    </row>
    <row r="396" spans="1:12" ht="24">
      <c r="A396" s="62" t="s">
        <v>139</v>
      </c>
      <c r="B396" s="52" t="s">
        <v>925</v>
      </c>
      <c r="C396" s="55" t="s">
        <v>419</v>
      </c>
      <c r="D396" s="55" t="s">
        <v>1105</v>
      </c>
      <c r="E396" s="55" t="s">
        <v>1410</v>
      </c>
      <c r="F396" s="55" t="s">
        <v>1454</v>
      </c>
      <c r="G396" s="436">
        <f>G397</f>
        <v>41447</v>
      </c>
      <c r="H396" s="436">
        <f>H397</f>
        <v>41407</v>
      </c>
      <c r="J396" s="436">
        <f>J397</f>
        <v>41374.7</v>
      </c>
      <c r="K396" s="475">
        <f>J396/G396*100</f>
        <v>99.82556035418727</v>
      </c>
      <c r="L396" s="475">
        <f t="shared" si="40"/>
        <v>99.92199386577148</v>
      </c>
    </row>
    <row r="397" spans="1:12" ht="24">
      <c r="A397" s="57" t="s">
        <v>512</v>
      </c>
      <c r="B397" s="52" t="s">
        <v>925</v>
      </c>
      <c r="C397" s="55" t="s">
        <v>419</v>
      </c>
      <c r="D397" s="55" t="s">
        <v>1105</v>
      </c>
      <c r="E397" s="55" t="s">
        <v>1410</v>
      </c>
      <c r="F397" s="55" t="s">
        <v>554</v>
      </c>
      <c r="G397" s="437">
        <f>41447</f>
        <v>41447</v>
      </c>
      <c r="H397" s="437">
        <f>41447+1660-1700</f>
        <v>41407</v>
      </c>
      <c r="J397" s="437">
        <v>41374.7</v>
      </c>
      <c r="K397" s="475">
        <f>J397/G397*100</f>
        <v>99.82556035418727</v>
      </c>
      <c r="L397" s="475">
        <f t="shared" si="40"/>
        <v>99.92199386577148</v>
      </c>
    </row>
    <row r="398" spans="1:12" ht="24">
      <c r="A398" s="57" t="s">
        <v>1411</v>
      </c>
      <c r="B398" s="52" t="s">
        <v>925</v>
      </c>
      <c r="C398" s="55" t="s">
        <v>419</v>
      </c>
      <c r="D398" s="55" t="s">
        <v>1105</v>
      </c>
      <c r="E398" s="55" t="s">
        <v>1410</v>
      </c>
      <c r="F398" s="55" t="s">
        <v>554</v>
      </c>
      <c r="G398" s="437">
        <v>0</v>
      </c>
      <c r="H398" s="437">
        <v>140</v>
      </c>
      <c r="J398" s="437">
        <v>139.1</v>
      </c>
      <c r="K398" s="475">
        <v>0</v>
      </c>
      <c r="L398" s="475">
        <f t="shared" si="40"/>
        <v>99.35714285714286</v>
      </c>
    </row>
    <row r="399" spans="1:12" ht="36">
      <c r="A399" s="57" t="s">
        <v>1257</v>
      </c>
      <c r="B399" s="52" t="s">
        <v>925</v>
      </c>
      <c r="C399" s="55" t="s">
        <v>419</v>
      </c>
      <c r="D399" s="55" t="s">
        <v>1105</v>
      </c>
      <c r="E399" s="55" t="s">
        <v>1258</v>
      </c>
      <c r="F399" s="55" t="s">
        <v>920</v>
      </c>
      <c r="G399" s="436">
        <f>G403+G400+G408+G411</f>
        <v>0</v>
      </c>
      <c r="H399" s="436">
        <f>H403+H400+H408+H411</f>
        <v>3752.8</v>
      </c>
      <c r="J399" s="436">
        <f>J403+J400+J408+J411</f>
        <v>3742.9</v>
      </c>
      <c r="K399" s="475">
        <v>0</v>
      </c>
      <c r="L399" s="475">
        <f t="shared" si="40"/>
        <v>99.73619697292688</v>
      </c>
    </row>
    <row r="400" spans="1:12" ht="24">
      <c r="A400" s="62" t="s">
        <v>154</v>
      </c>
      <c r="B400" s="52" t="s">
        <v>925</v>
      </c>
      <c r="C400" s="55" t="s">
        <v>419</v>
      </c>
      <c r="D400" s="55" t="s">
        <v>1105</v>
      </c>
      <c r="E400" s="55" t="s">
        <v>1412</v>
      </c>
      <c r="F400" s="55" t="s">
        <v>552</v>
      </c>
      <c r="G400" s="436">
        <f>G401</f>
        <v>0</v>
      </c>
      <c r="H400" s="436">
        <f>H401</f>
        <v>939.2</v>
      </c>
      <c r="J400" s="436">
        <f>J401</f>
        <v>931.5</v>
      </c>
      <c r="K400" s="475">
        <v>0</v>
      </c>
      <c r="L400" s="475">
        <f t="shared" si="40"/>
        <v>99.18015332197615</v>
      </c>
    </row>
    <row r="401" spans="1:12" ht="36">
      <c r="A401" s="62" t="s">
        <v>278</v>
      </c>
      <c r="B401" s="52" t="s">
        <v>925</v>
      </c>
      <c r="C401" s="55" t="s">
        <v>419</v>
      </c>
      <c r="D401" s="55" t="s">
        <v>1105</v>
      </c>
      <c r="E401" s="55" t="s">
        <v>1412</v>
      </c>
      <c r="F401" s="55" t="s">
        <v>155</v>
      </c>
      <c r="G401" s="436">
        <f>G402</f>
        <v>0</v>
      </c>
      <c r="H401" s="436">
        <f>H402</f>
        <v>939.2</v>
      </c>
      <c r="J401" s="436">
        <f>J402</f>
        <v>931.5</v>
      </c>
      <c r="K401" s="475">
        <v>0</v>
      </c>
      <c r="L401" s="475">
        <f t="shared" si="40"/>
        <v>99.18015332197615</v>
      </c>
    </row>
    <row r="402" spans="1:12" ht="36">
      <c r="A402" s="57" t="s">
        <v>1413</v>
      </c>
      <c r="B402" s="52" t="s">
        <v>925</v>
      </c>
      <c r="C402" s="55" t="s">
        <v>419</v>
      </c>
      <c r="D402" s="55" t="s">
        <v>1105</v>
      </c>
      <c r="E402" s="55" t="s">
        <v>1412</v>
      </c>
      <c r="F402" s="55" t="s">
        <v>155</v>
      </c>
      <c r="G402" s="437">
        <v>0</v>
      </c>
      <c r="H402" s="437">
        <f>1470-620.8+90</f>
        <v>939.2</v>
      </c>
      <c r="J402" s="437">
        <v>931.5</v>
      </c>
      <c r="K402" s="475">
        <v>0</v>
      </c>
      <c r="L402" s="475">
        <f t="shared" si="40"/>
        <v>99.18015332197615</v>
      </c>
    </row>
    <row r="403" spans="1:12" ht="24">
      <c r="A403" s="62" t="s">
        <v>139</v>
      </c>
      <c r="B403" s="52" t="s">
        <v>925</v>
      </c>
      <c r="C403" s="55" t="s">
        <v>419</v>
      </c>
      <c r="D403" s="55" t="s">
        <v>1105</v>
      </c>
      <c r="E403" s="55" t="s">
        <v>1412</v>
      </c>
      <c r="F403" s="55" t="s">
        <v>1454</v>
      </c>
      <c r="G403" s="436">
        <f>G404</f>
        <v>0</v>
      </c>
      <c r="H403" s="436">
        <f>H404</f>
        <v>2685.6</v>
      </c>
      <c r="J403" s="436">
        <f>J404</f>
        <v>2683.4</v>
      </c>
      <c r="K403" s="475">
        <v>0</v>
      </c>
      <c r="L403" s="475">
        <f t="shared" si="40"/>
        <v>99.91808162049449</v>
      </c>
    </row>
    <row r="404" spans="1:12" ht="24">
      <c r="A404" s="57" t="s">
        <v>141</v>
      </c>
      <c r="B404" s="52" t="s">
        <v>925</v>
      </c>
      <c r="C404" s="55" t="s">
        <v>419</v>
      </c>
      <c r="D404" s="55" t="s">
        <v>1105</v>
      </c>
      <c r="E404" s="55" t="s">
        <v>1412</v>
      </c>
      <c r="F404" s="55" t="s">
        <v>554</v>
      </c>
      <c r="G404" s="436">
        <f>G405+G406+G407</f>
        <v>0</v>
      </c>
      <c r="H404" s="436">
        <f>H405+H406+H407</f>
        <v>2685.6</v>
      </c>
      <c r="J404" s="436">
        <f>J405+J406+J407</f>
        <v>2683.4</v>
      </c>
      <c r="K404" s="475">
        <v>0</v>
      </c>
      <c r="L404" s="475">
        <f t="shared" si="40"/>
        <v>99.91808162049449</v>
      </c>
    </row>
    <row r="405" spans="1:12" ht="24">
      <c r="A405" s="57" t="s">
        <v>613</v>
      </c>
      <c r="B405" s="52" t="s">
        <v>925</v>
      </c>
      <c r="C405" s="55" t="s">
        <v>419</v>
      </c>
      <c r="D405" s="55" t="s">
        <v>1105</v>
      </c>
      <c r="E405" s="55" t="s">
        <v>1412</v>
      </c>
      <c r="F405" s="55" t="s">
        <v>554</v>
      </c>
      <c r="G405" s="437">
        <v>0</v>
      </c>
      <c r="H405" s="437">
        <f>209.1+156.3+195.8+160.4+399.9+955+0.1</f>
        <v>2076.6</v>
      </c>
      <c r="J405" s="437">
        <f>209.1+156.3+195.8+160.4+399.9+955+0.1</f>
        <v>2076.6</v>
      </c>
      <c r="K405" s="475">
        <v>0</v>
      </c>
      <c r="L405" s="475">
        <f t="shared" si="40"/>
        <v>100</v>
      </c>
    </row>
    <row r="406" spans="1:12" ht="24">
      <c r="A406" s="395" t="s">
        <v>466</v>
      </c>
      <c r="B406" s="52" t="s">
        <v>925</v>
      </c>
      <c r="C406" s="55" t="s">
        <v>419</v>
      </c>
      <c r="D406" s="55" t="s">
        <v>1105</v>
      </c>
      <c r="E406" s="55" t="s">
        <v>1414</v>
      </c>
      <c r="F406" s="55" t="s">
        <v>554</v>
      </c>
      <c r="G406" s="437">
        <v>0</v>
      </c>
      <c r="H406" s="437">
        <v>225</v>
      </c>
      <c r="J406" s="437">
        <v>222.8</v>
      </c>
      <c r="K406" s="475">
        <v>0</v>
      </c>
      <c r="L406" s="475">
        <f t="shared" si="40"/>
        <v>99.02222222222223</v>
      </c>
    </row>
    <row r="407" spans="1:12" ht="24">
      <c r="A407" s="395" t="s">
        <v>1415</v>
      </c>
      <c r="B407" s="52" t="s">
        <v>925</v>
      </c>
      <c r="C407" s="55" t="s">
        <v>419</v>
      </c>
      <c r="D407" s="55" t="s">
        <v>1105</v>
      </c>
      <c r="E407" s="55" t="s">
        <v>1414</v>
      </c>
      <c r="F407" s="55" t="s">
        <v>554</v>
      </c>
      <c r="G407" s="437">
        <v>0</v>
      </c>
      <c r="H407" s="437">
        <f>136+248</f>
        <v>384</v>
      </c>
      <c r="J407" s="437">
        <f>136+248</f>
        <v>384</v>
      </c>
      <c r="K407" s="475">
        <v>0</v>
      </c>
      <c r="L407" s="475">
        <f t="shared" si="40"/>
        <v>100</v>
      </c>
    </row>
    <row r="408" spans="1:12" ht="24">
      <c r="A408" s="62" t="s">
        <v>139</v>
      </c>
      <c r="B408" s="52" t="s">
        <v>925</v>
      </c>
      <c r="C408" s="55" t="s">
        <v>419</v>
      </c>
      <c r="D408" s="55" t="s">
        <v>1105</v>
      </c>
      <c r="E408" s="55" t="s">
        <v>1416</v>
      </c>
      <c r="F408" s="55" t="s">
        <v>1454</v>
      </c>
      <c r="G408" s="436">
        <f>G409</f>
        <v>0</v>
      </c>
      <c r="H408" s="436">
        <f>H409</f>
        <v>100</v>
      </c>
      <c r="J408" s="436">
        <f>J409</f>
        <v>100</v>
      </c>
      <c r="K408" s="475">
        <v>0</v>
      </c>
      <c r="L408" s="475">
        <f t="shared" si="40"/>
        <v>100</v>
      </c>
    </row>
    <row r="409" spans="1:12" ht="24">
      <c r="A409" s="57" t="s">
        <v>141</v>
      </c>
      <c r="B409" s="52" t="s">
        <v>925</v>
      </c>
      <c r="C409" s="55" t="s">
        <v>419</v>
      </c>
      <c r="D409" s="55" t="s">
        <v>1105</v>
      </c>
      <c r="E409" s="55" t="s">
        <v>1416</v>
      </c>
      <c r="F409" s="55" t="s">
        <v>554</v>
      </c>
      <c r="G409" s="437">
        <f>G410</f>
        <v>0</v>
      </c>
      <c r="H409" s="437">
        <f>H410</f>
        <v>100</v>
      </c>
      <c r="J409" s="437">
        <f>J410</f>
        <v>100</v>
      </c>
      <c r="K409" s="475">
        <v>0</v>
      </c>
      <c r="L409" s="475">
        <f t="shared" si="40"/>
        <v>100</v>
      </c>
    </row>
    <row r="410" spans="1:12" ht="24">
      <c r="A410" s="395" t="s">
        <v>466</v>
      </c>
      <c r="B410" s="52" t="s">
        <v>925</v>
      </c>
      <c r="C410" s="55" t="s">
        <v>419</v>
      </c>
      <c r="D410" s="55" t="s">
        <v>1105</v>
      </c>
      <c r="E410" s="55" t="s">
        <v>1416</v>
      </c>
      <c r="F410" s="55" t="s">
        <v>554</v>
      </c>
      <c r="G410" s="437">
        <v>0</v>
      </c>
      <c r="H410" s="437">
        <v>100</v>
      </c>
      <c r="J410" s="437">
        <v>100</v>
      </c>
      <c r="K410" s="475">
        <v>0</v>
      </c>
      <c r="L410" s="475">
        <f t="shared" si="40"/>
        <v>100</v>
      </c>
    </row>
    <row r="411" spans="1:12" ht="24">
      <c r="A411" s="62" t="s">
        <v>139</v>
      </c>
      <c r="B411" s="52" t="s">
        <v>925</v>
      </c>
      <c r="C411" s="55" t="s">
        <v>1417</v>
      </c>
      <c r="D411" s="55" t="s">
        <v>1105</v>
      </c>
      <c r="E411" s="55" t="s">
        <v>1418</v>
      </c>
      <c r="F411" s="55" t="s">
        <v>1454</v>
      </c>
      <c r="G411" s="436">
        <f>G412</f>
        <v>0</v>
      </c>
      <c r="H411" s="436">
        <f>H412</f>
        <v>28</v>
      </c>
      <c r="J411" s="436">
        <f>J412</f>
        <v>28</v>
      </c>
      <c r="K411" s="475">
        <v>0</v>
      </c>
      <c r="L411" s="475">
        <f t="shared" si="40"/>
        <v>100</v>
      </c>
    </row>
    <row r="412" spans="1:12" ht="24">
      <c r="A412" s="57" t="s">
        <v>141</v>
      </c>
      <c r="B412" s="52" t="s">
        <v>925</v>
      </c>
      <c r="C412" s="55" t="s">
        <v>419</v>
      </c>
      <c r="D412" s="55" t="s">
        <v>1105</v>
      </c>
      <c r="E412" s="55" t="s">
        <v>1418</v>
      </c>
      <c r="F412" s="55" t="s">
        <v>554</v>
      </c>
      <c r="G412" s="437">
        <f>G413</f>
        <v>0</v>
      </c>
      <c r="H412" s="437">
        <f>H413</f>
        <v>28</v>
      </c>
      <c r="J412" s="437">
        <f>J413</f>
        <v>28</v>
      </c>
      <c r="K412" s="475">
        <v>0</v>
      </c>
      <c r="L412" s="475">
        <f t="shared" si="40"/>
        <v>100</v>
      </c>
    </row>
    <row r="413" spans="1:12" ht="24">
      <c r="A413" s="395" t="s">
        <v>466</v>
      </c>
      <c r="B413" s="52" t="s">
        <v>925</v>
      </c>
      <c r="C413" s="55" t="s">
        <v>419</v>
      </c>
      <c r="D413" s="55" t="s">
        <v>1105</v>
      </c>
      <c r="E413" s="55" t="s">
        <v>1418</v>
      </c>
      <c r="F413" s="55" t="s">
        <v>554</v>
      </c>
      <c r="G413" s="437">
        <v>0</v>
      </c>
      <c r="H413" s="437">
        <v>28</v>
      </c>
      <c r="J413" s="437">
        <v>28</v>
      </c>
      <c r="K413" s="475">
        <v>0</v>
      </c>
      <c r="L413" s="475">
        <f t="shared" si="40"/>
        <v>100</v>
      </c>
    </row>
    <row r="414" spans="1:12" ht="48">
      <c r="A414" s="62" t="s">
        <v>1054</v>
      </c>
      <c r="B414" s="52" t="s">
        <v>925</v>
      </c>
      <c r="C414" s="55" t="s">
        <v>419</v>
      </c>
      <c r="D414" s="55" t="s">
        <v>1105</v>
      </c>
      <c r="E414" s="55" t="s">
        <v>1055</v>
      </c>
      <c r="F414" s="55"/>
      <c r="G414" s="436">
        <f>G415</f>
        <v>0</v>
      </c>
      <c r="H414" s="436">
        <f>H415</f>
        <v>1400</v>
      </c>
      <c r="J414" s="436">
        <f>J415</f>
        <v>1397.7</v>
      </c>
      <c r="K414" s="475">
        <v>0</v>
      </c>
      <c r="L414" s="475">
        <f t="shared" si="40"/>
        <v>99.83571428571429</v>
      </c>
    </row>
    <row r="415" spans="1:12" ht="24">
      <c r="A415" s="62" t="s">
        <v>139</v>
      </c>
      <c r="B415" s="52" t="s">
        <v>925</v>
      </c>
      <c r="C415" s="55" t="s">
        <v>419</v>
      </c>
      <c r="D415" s="55" t="s">
        <v>1105</v>
      </c>
      <c r="E415" s="55" t="s">
        <v>1055</v>
      </c>
      <c r="F415" s="55" t="s">
        <v>1454</v>
      </c>
      <c r="G415" s="436">
        <f>G416</f>
        <v>0</v>
      </c>
      <c r="H415" s="436">
        <f>H416</f>
        <v>1400</v>
      </c>
      <c r="J415" s="436">
        <f>J416</f>
        <v>1397.7</v>
      </c>
      <c r="K415" s="475">
        <v>0</v>
      </c>
      <c r="L415" s="475">
        <f t="shared" si="40"/>
        <v>99.83571428571429</v>
      </c>
    </row>
    <row r="416" spans="1:12" ht="24">
      <c r="A416" s="57" t="s">
        <v>1419</v>
      </c>
      <c r="B416" s="52" t="s">
        <v>925</v>
      </c>
      <c r="C416" s="55" t="s">
        <v>419</v>
      </c>
      <c r="D416" s="55" t="s">
        <v>1105</v>
      </c>
      <c r="E416" s="55" t="s">
        <v>1055</v>
      </c>
      <c r="F416" s="55" t="s">
        <v>554</v>
      </c>
      <c r="G416" s="437">
        <v>0</v>
      </c>
      <c r="H416" s="437">
        <f>2400-1000</f>
        <v>1400</v>
      </c>
      <c r="J416" s="437">
        <v>1397.7</v>
      </c>
      <c r="K416" s="475">
        <v>0</v>
      </c>
      <c r="L416" s="475">
        <f t="shared" si="40"/>
        <v>99.83571428571429</v>
      </c>
    </row>
    <row r="417" spans="1:12" ht="15.75">
      <c r="A417" s="61" t="s">
        <v>1076</v>
      </c>
      <c r="B417" s="52" t="s">
        <v>925</v>
      </c>
      <c r="C417" s="55" t="s">
        <v>419</v>
      </c>
      <c r="D417" s="55" t="s">
        <v>1151</v>
      </c>
      <c r="E417" s="55"/>
      <c r="F417" s="55"/>
      <c r="G417" s="436">
        <f>G419+G427+G444</f>
        <v>133797</v>
      </c>
      <c r="H417" s="436">
        <f>H419+H427+H444</f>
        <v>107467</v>
      </c>
      <c r="J417" s="436">
        <f>J419+J427+J444</f>
        <v>106556.4</v>
      </c>
      <c r="K417" s="460">
        <f aca="true" t="shared" si="41" ref="K417:K427">J417/G417*100</f>
        <v>79.64035068050853</v>
      </c>
      <c r="L417" s="460">
        <f t="shared" si="40"/>
        <v>99.15267012199092</v>
      </c>
    </row>
    <row r="418" spans="1:12" ht="24">
      <c r="A418" s="382" t="s">
        <v>608</v>
      </c>
      <c r="B418" s="52" t="s">
        <v>925</v>
      </c>
      <c r="C418" s="55" t="s">
        <v>419</v>
      </c>
      <c r="D418" s="55" t="s">
        <v>1151</v>
      </c>
      <c r="E418" s="55" t="s">
        <v>1251</v>
      </c>
      <c r="F418" s="55"/>
      <c r="G418" s="436">
        <f>G419</f>
        <v>30304</v>
      </c>
      <c r="H418" s="436">
        <f>H419</f>
        <v>3554</v>
      </c>
      <c r="J418" s="436">
        <f>J419</f>
        <v>3408.8</v>
      </c>
      <c r="K418" s="460">
        <f t="shared" si="41"/>
        <v>11.248680042238648</v>
      </c>
      <c r="L418" s="460">
        <f t="shared" si="40"/>
        <v>95.9144625773776</v>
      </c>
    </row>
    <row r="419" spans="1:12" ht="24">
      <c r="A419" s="73" t="s">
        <v>1134</v>
      </c>
      <c r="B419" s="52" t="s">
        <v>925</v>
      </c>
      <c r="C419" s="55" t="s">
        <v>419</v>
      </c>
      <c r="D419" s="55" t="s">
        <v>1151</v>
      </c>
      <c r="E419" s="55" t="s">
        <v>1404</v>
      </c>
      <c r="F419" s="55" t="s">
        <v>920</v>
      </c>
      <c r="G419" s="436">
        <f>G420</f>
        <v>30304</v>
      </c>
      <c r="H419" s="436">
        <f>H420</f>
        <v>3554</v>
      </c>
      <c r="J419" s="436">
        <f>J420</f>
        <v>3408.8</v>
      </c>
      <c r="K419" s="475">
        <f t="shared" si="41"/>
        <v>11.248680042238648</v>
      </c>
      <c r="L419" s="475">
        <f t="shared" si="40"/>
        <v>95.9144625773776</v>
      </c>
    </row>
    <row r="420" spans="1:12" ht="24">
      <c r="A420" s="57" t="s">
        <v>848</v>
      </c>
      <c r="B420" s="52" t="s">
        <v>925</v>
      </c>
      <c r="C420" s="55" t="s">
        <v>419</v>
      </c>
      <c r="D420" s="55" t="s">
        <v>1151</v>
      </c>
      <c r="E420" s="55" t="s">
        <v>1404</v>
      </c>
      <c r="F420" s="55" t="s">
        <v>920</v>
      </c>
      <c r="G420" s="436">
        <f>G422+G425+G423</f>
        <v>30304</v>
      </c>
      <c r="H420" s="436">
        <f>H422+H425+H423</f>
        <v>3554</v>
      </c>
      <c r="J420" s="436">
        <f>J422+J425+J423</f>
        <v>3408.8</v>
      </c>
      <c r="K420" s="475">
        <f t="shared" si="41"/>
        <v>11.248680042238648</v>
      </c>
      <c r="L420" s="475">
        <f t="shared" si="40"/>
        <v>95.9144625773776</v>
      </c>
    </row>
    <row r="421" spans="1:12" ht="24">
      <c r="A421" s="206" t="s">
        <v>68</v>
      </c>
      <c r="B421" s="52" t="s">
        <v>925</v>
      </c>
      <c r="C421" s="55" t="s">
        <v>419</v>
      </c>
      <c r="D421" s="55" t="s">
        <v>1151</v>
      </c>
      <c r="E421" s="55" t="s">
        <v>1404</v>
      </c>
      <c r="F421" s="55" t="s">
        <v>528</v>
      </c>
      <c r="G421" s="436">
        <f>G422</f>
        <v>218</v>
      </c>
      <c r="H421" s="436">
        <f>H422</f>
        <v>218</v>
      </c>
      <c r="J421" s="436">
        <f>J422</f>
        <v>111.4</v>
      </c>
      <c r="K421" s="475">
        <f t="shared" si="41"/>
        <v>51.10091743119266</v>
      </c>
      <c r="L421" s="475">
        <f aca="true" t="shared" si="42" ref="L421:L433">J421/H421*100</f>
        <v>51.10091743119266</v>
      </c>
    </row>
    <row r="422" spans="1:12" ht="24">
      <c r="A422" s="206" t="s">
        <v>710</v>
      </c>
      <c r="B422" s="52" t="s">
        <v>925</v>
      </c>
      <c r="C422" s="55" t="s">
        <v>419</v>
      </c>
      <c r="D422" s="55" t="s">
        <v>1151</v>
      </c>
      <c r="E422" s="55" t="s">
        <v>1404</v>
      </c>
      <c r="F422" s="55" t="s">
        <v>1486</v>
      </c>
      <c r="G422" s="437">
        <f>218</f>
        <v>218</v>
      </c>
      <c r="H422" s="437">
        <f>218</f>
        <v>218</v>
      </c>
      <c r="J422" s="437">
        <v>111.4</v>
      </c>
      <c r="K422" s="475">
        <f t="shared" si="41"/>
        <v>51.10091743119266</v>
      </c>
      <c r="L422" s="475">
        <f t="shared" si="42"/>
        <v>51.10091743119266</v>
      </c>
    </row>
    <row r="423" spans="1:12" ht="24">
      <c r="A423" s="206" t="s">
        <v>154</v>
      </c>
      <c r="B423" s="52" t="s">
        <v>925</v>
      </c>
      <c r="C423" s="55" t="s">
        <v>419</v>
      </c>
      <c r="D423" s="55" t="s">
        <v>1151</v>
      </c>
      <c r="E423" s="55" t="s">
        <v>1404</v>
      </c>
      <c r="F423" s="55" t="s">
        <v>552</v>
      </c>
      <c r="G423" s="436">
        <f>G424</f>
        <v>30000</v>
      </c>
      <c r="H423" s="436">
        <f>H424</f>
        <v>3250</v>
      </c>
      <c r="J423" s="436">
        <f>J424</f>
        <v>3250</v>
      </c>
      <c r="K423" s="475">
        <f t="shared" si="41"/>
        <v>10.833333333333334</v>
      </c>
      <c r="L423" s="475">
        <f t="shared" si="42"/>
        <v>100</v>
      </c>
    </row>
    <row r="424" spans="1:12" ht="36">
      <c r="A424" s="57" t="s">
        <v>1420</v>
      </c>
      <c r="B424" s="52" t="s">
        <v>925</v>
      </c>
      <c r="C424" s="55" t="s">
        <v>419</v>
      </c>
      <c r="D424" s="55" t="s">
        <v>1151</v>
      </c>
      <c r="E424" s="55" t="s">
        <v>1404</v>
      </c>
      <c r="F424" s="55" t="s">
        <v>1421</v>
      </c>
      <c r="G424" s="437">
        <f>30000</f>
        <v>30000</v>
      </c>
      <c r="H424" s="437">
        <f>30000+3250+3921.8-33273.8-648</f>
        <v>3250</v>
      </c>
      <c r="J424" s="437">
        <f>30000+3250+3921.8-33273.8-648</f>
        <v>3250</v>
      </c>
      <c r="K424" s="475">
        <f t="shared" si="41"/>
        <v>10.833333333333334</v>
      </c>
      <c r="L424" s="475">
        <f t="shared" si="42"/>
        <v>100</v>
      </c>
    </row>
    <row r="425" spans="1:12" ht="24">
      <c r="A425" s="206" t="s">
        <v>793</v>
      </c>
      <c r="B425" s="52" t="s">
        <v>925</v>
      </c>
      <c r="C425" s="55" t="s">
        <v>419</v>
      </c>
      <c r="D425" s="55" t="s">
        <v>1151</v>
      </c>
      <c r="E425" s="55" t="s">
        <v>1404</v>
      </c>
      <c r="F425" s="55" t="s">
        <v>794</v>
      </c>
      <c r="G425" s="436">
        <f>G426</f>
        <v>86</v>
      </c>
      <c r="H425" s="436">
        <f>H426</f>
        <v>86</v>
      </c>
      <c r="J425" s="436">
        <f>J426</f>
        <v>47.4</v>
      </c>
      <c r="K425" s="475">
        <f t="shared" si="41"/>
        <v>55.11627906976744</v>
      </c>
      <c r="L425" s="475">
        <f t="shared" si="42"/>
        <v>55.11627906976744</v>
      </c>
    </row>
    <row r="426" spans="1:12" ht="24">
      <c r="A426" s="206" t="s">
        <v>70</v>
      </c>
      <c r="B426" s="52" t="s">
        <v>925</v>
      </c>
      <c r="C426" s="55" t="s">
        <v>419</v>
      </c>
      <c r="D426" s="55" t="s">
        <v>1151</v>
      </c>
      <c r="E426" s="55" t="s">
        <v>1404</v>
      </c>
      <c r="F426" s="55" t="s">
        <v>71</v>
      </c>
      <c r="G426" s="437">
        <v>86</v>
      </c>
      <c r="H426" s="437">
        <v>86</v>
      </c>
      <c r="J426" s="437">
        <v>47.4</v>
      </c>
      <c r="K426" s="475">
        <f t="shared" si="41"/>
        <v>55.11627906976744</v>
      </c>
      <c r="L426" s="475">
        <f t="shared" si="42"/>
        <v>55.11627906976744</v>
      </c>
    </row>
    <row r="427" spans="1:12" ht="36">
      <c r="A427" s="62" t="s">
        <v>1422</v>
      </c>
      <c r="B427" s="52" t="s">
        <v>925</v>
      </c>
      <c r="C427" s="55" t="s">
        <v>419</v>
      </c>
      <c r="D427" s="55" t="s">
        <v>1151</v>
      </c>
      <c r="E427" s="55" t="s">
        <v>1423</v>
      </c>
      <c r="F427" s="55"/>
      <c r="G427" s="436">
        <f>G428+G431+G436+G439</f>
        <v>103493</v>
      </c>
      <c r="H427" s="436">
        <f>H428+H431+H436+H439</f>
        <v>102913</v>
      </c>
      <c r="J427" s="436">
        <f>J428+J431+J436+J439</f>
        <v>102277.7</v>
      </c>
      <c r="K427" s="475">
        <f t="shared" si="41"/>
        <v>98.82571768138908</v>
      </c>
      <c r="L427" s="475">
        <f t="shared" si="42"/>
        <v>99.38268245994189</v>
      </c>
    </row>
    <row r="428" spans="1:12" ht="60">
      <c r="A428" s="62" t="s">
        <v>1424</v>
      </c>
      <c r="B428" s="52" t="s">
        <v>925</v>
      </c>
      <c r="C428" s="55" t="s">
        <v>419</v>
      </c>
      <c r="D428" s="55" t="s">
        <v>1151</v>
      </c>
      <c r="E428" s="55" t="s">
        <v>1425</v>
      </c>
      <c r="F428" s="55"/>
      <c r="G428" s="436">
        <f>G429</f>
        <v>0</v>
      </c>
      <c r="H428" s="436">
        <f>H429</f>
        <v>566</v>
      </c>
      <c r="J428" s="436">
        <f>J429</f>
        <v>566</v>
      </c>
      <c r="K428" s="475">
        <v>0</v>
      </c>
      <c r="L428" s="475">
        <f t="shared" si="42"/>
        <v>100</v>
      </c>
    </row>
    <row r="429" spans="1:12" ht="24">
      <c r="A429" s="62" t="s">
        <v>139</v>
      </c>
      <c r="B429" s="52" t="s">
        <v>925</v>
      </c>
      <c r="C429" s="55" t="s">
        <v>419</v>
      </c>
      <c r="D429" s="55" t="s">
        <v>1151</v>
      </c>
      <c r="E429" s="55" t="s">
        <v>1425</v>
      </c>
      <c r="F429" s="55" t="s">
        <v>1454</v>
      </c>
      <c r="G429" s="436">
        <f>G430</f>
        <v>0</v>
      </c>
      <c r="H429" s="436">
        <f>H430</f>
        <v>566</v>
      </c>
      <c r="J429" s="436">
        <f>J430</f>
        <v>566</v>
      </c>
      <c r="K429" s="475">
        <v>0</v>
      </c>
      <c r="L429" s="475">
        <f t="shared" si="42"/>
        <v>100</v>
      </c>
    </row>
    <row r="430" spans="1:12" ht="24">
      <c r="A430" s="57" t="s">
        <v>553</v>
      </c>
      <c r="B430" s="52" t="s">
        <v>925</v>
      </c>
      <c r="C430" s="55" t="s">
        <v>419</v>
      </c>
      <c r="D430" s="55" t="s">
        <v>1151</v>
      </c>
      <c r="E430" s="55" t="s">
        <v>1425</v>
      </c>
      <c r="F430" s="55" t="s">
        <v>554</v>
      </c>
      <c r="G430" s="437">
        <v>0</v>
      </c>
      <c r="H430" s="437">
        <v>566</v>
      </c>
      <c r="J430" s="437">
        <v>566</v>
      </c>
      <c r="K430" s="475">
        <v>0</v>
      </c>
      <c r="L430" s="475">
        <f t="shared" si="42"/>
        <v>100</v>
      </c>
    </row>
    <row r="431" spans="1:12" ht="24">
      <c r="A431" s="57" t="s">
        <v>531</v>
      </c>
      <c r="B431" s="52" t="s">
        <v>925</v>
      </c>
      <c r="C431" s="55" t="s">
        <v>419</v>
      </c>
      <c r="D431" s="55" t="s">
        <v>1151</v>
      </c>
      <c r="E431" s="55" t="s">
        <v>1426</v>
      </c>
      <c r="F431" s="55" t="s">
        <v>920</v>
      </c>
      <c r="G431" s="436">
        <f>G432+G434</f>
        <v>15257</v>
      </c>
      <c r="H431" s="436">
        <f>H432+H434</f>
        <v>13078</v>
      </c>
      <c r="J431" s="436">
        <f>J432+J434</f>
        <v>12506.2</v>
      </c>
      <c r="K431" s="475">
        <f aca="true" t="shared" si="43" ref="K431:K442">J431/G431*100</f>
        <v>81.97024316707086</v>
      </c>
      <c r="L431" s="475">
        <f t="shared" si="42"/>
        <v>95.62777183055515</v>
      </c>
    </row>
    <row r="432" spans="1:12" ht="36.75" customHeight="1">
      <c r="A432" s="206" t="s">
        <v>63</v>
      </c>
      <c r="B432" s="52" t="s">
        <v>925</v>
      </c>
      <c r="C432" s="55" t="s">
        <v>419</v>
      </c>
      <c r="D432" s="55" t="s">
        <v>1151</v>
      </c>
      <c r="E432" s="55" t="s">
        <v>1426</v>
      </c>
      <c r="F432" s="55" t="s">
        <v>64</v>
      </c>
      <c r="G432" s="436">
        <f>G433</f>
        <v>14084</v>
      </c>
      <c r="H432" s="436">
        <f>H433</f>
        <v>11892</v>
      </c>
      <c r="J432" s="436">
        <f>J433</f>
        <v>11339</v>
      </c>
      <c r="K432" s="475">
        <f t="shared" si="43"/>
        <v>80.5097983527407</v>
      </c>
      <c r="L432" s="475">
        <f t="shared" si="42"/>
        <v>95.3498150016818</v>
      </c>
    </row>
    <row r="433" spans="1:12" ht="24">
      <c r="A433" s="206" t="s">
        <v>65</v>
      </c>
      <c r="B433" s="52" t="s">
        <v>925</v>
      </c>
      <c r="C433" s="55" t="s">
        <v>419</v>
      </c>
      <c r="D433" s="55" t="s">
        <v>1151</v>
      </c>
      <c r="E433" s="55" t="s">
        <v>1426</v>
      </c>
      <c r="F433" s="55" t="s">
        <v>527</v>
      </c>
      <c r="G433" s="437">
        <f>14084</f>
        <v>14084</v>
      </c>
      <c r="H433" s="437">
        <f>14084-1535.3-463.7-90-13-90</f>
        <v>11892</v>
      </c>
      <c r="J433" s="437">
        <v>11339</v>
      </c>
      <c r="K433" s="475">
        <f t="shared" si="43"/>
        <v>80.5097983527407</v>
      </c>
      <c r="L433" s="475">
        <f t="shared" si="42"/>
        <v>95.3498150016818</v>
      </c>
    </row>
    <row r="434" spans="1:12" ht="24">
      <c r="A434" s="206" t="s">
        <v>68</v>
      </c>
      <c r="B434" s="52" t="s">
        <v>925</v>
      </c>
      <c r="C434" s="55" t="s">
        <v>419</v>
      </c>
      <c r="D434" s="55" t="s">
        <v>1151</v>
      </c>
      <c r="E434" s="55" t="s">
        <v>1426</v>
      </c>
      <c r="F434" s="55" t="s">
        <v>528</v>
      </c>
      <c r="G434" s="436">
        <f>G435</f>
        <v>1173</v>
      </c>
      <c r="H434" s="436">
        <f>H435</f>
        <v>1186</v>
      </c>
      <c r="J434" s="436">
        <f>J435</f>
        <v>1167.2</v>
      </c>
      <c r="K434" s="475">
        <f t="shared" si="43"/>
        <v>99.50554134697359</v>
      </c>
      <c r="L434" s="475">
        <f aca="true" t="shared" si="44" ref="L434:L457">J434/H434*100</f>
        <v>98.41483979763913</v>
      </c>
    </row>
    <row r="435" spans="1:12" ht="24">
      <c r="A435" s="206" t="s">
        <v>710</v>
      </c>
      <c r="B435" s="52" t="s">
        <v>925</v>
      </c>
      <c r="C435" s="55" t="s">
        <v>419</v>
      </c>
      <c r="D435" s="55" t="s">
        <v>1151</v>
      </c>
      <c r="E435" s="55" t="s">
        <v>1426</v>
      </c>
      <c r="F435" s="55" t="s">
        <v>1486</v>
      </c>
      <c r="G435" s="437">
        <f>1173</f>
        <v>1173</v>
      </c>
      <c r="H435" s="437">
        <f>1173+13</f>
        <v>1186</v>
      </c>
      <c r="J435" s="437">
        <v>1167.2</v>
      </c>
      <c r="K435" s="475">
        <f t="shared" si="43"/>
        <v>99.50554134697359</v>
      </c>
      <c r="L435" s="475">
        <f t="shared" si="44"/>
        <v>98.41483979763913</v>
      </c>
    </row>
    <row r="436" spans="1:12" ht="24">
      <c r="A436" s="207" t="s">
        <v>1487</v>
      </c>
      <c r="B436" s="52" t="s">
        <v>925</v>
      </c>
      <c r="C436" s="55" t="s">
        <v>419</v>
      </c>
      <c r="D436" s="55" t="s">
        <v>1151</v>
      </c>
      <c r="E436" s="55" t="s">
        <v>1426</v>
      </c>
      <c r="F436" s="55" t="s">
        <v>920</v>
      </c>
      <c r="G436" s="436">
        <f>G437</f>
        <v>176</v>
      </c>
      <c r="H436" s="436">
        <f>H437</f>
        <v>176</v>
      </c>
      <c r="J436" s="436">
        <f>J437</f>
        <v>112.5</v>
      </c>
      <c r="K436" s="475">
        <f t="shared" si="43"/>
        <v>63.92045454545454</v>
      </c>
      <c r="L436" s="475">
        <f t="shared" si="44"/>
        <v>63.92045454545454</v>
      </c>
    </row>
    <row r="437" spans="1:12" ht="24">
      <c r="A437" s="206" t="s">
        <v>793</v>
      </c>
      <c r="B437" s="52" t="s">
        <v>925</v>
      </c>
      <c r="C437" s="55" t="s">
        <v>419</v>
      </c>
      <c r="D437" s="55" t="s">
        <v>1151</v>
      </c>
      <c r="E437" s="55" t="s">
        <v>1426</v>
      </c>
      <c r="F437" s="55" t="s">
        <v>794</v>
      </c>
      <c r="G437" s="436">
        <f>G438</f>
        <v>176</v>
      </c>
      <c r="H437" s="436">
        <f>H438</f>
        <v>176</v>
      </c>
      <c r="J437" s="436">
        <f>J438</f>
        <v>112.5</v>
      </c>
      <c r="K437" s="475">
        <f t="shared" si="43"/>
        <v>63.92045454545454</v>
      </c>
      <c r="L437" s="475">
        <f t="shared" si="44"/>
        <v>63.92045454545454</v>
      </c>
    </row>
    <row r="438" spans="1:12" ht="24">
      <c r="A438" s="206" t="s">
        <v>70</v>
      </c>
      <c r="B438" s="52" t="s">
        <v>925</v>
      </c>
      <c r="C438" s="55" t="s">
        <v>419</v>
      </c>
      <c r="D438" s="55" t="s">
        <v>1151</v>
      </c>
      <c r="E438" s="55" t="s">
        <v>1426</v>
      </c>
      <c r="F438" s="55" t="s">
        <v>71</v>
      </c>
      <c r="G438" s="437">
        <v>176</v>
      </c>
      <c r="H438" s="437">
        <v>176</v>
      </c>
      <c r="J438" s="437">
        <v>112.5</v>
      </c>
      <c r="K438" s="475">
        <f t="shared" si="43"/>
        <v>63.92045454545454</v>
      </c>
      <c r="L438" s="475">
        <f t="shared" si="44"/>
        <v>63.92045454545454</v>
      </c>
    </row>
    <row r="439" spans="1:12" ht="48">
      <c r="A439" s="73" t="s">
        <v>1132</v>
      </c>
      <c r="B439" s="52" t="s">
        <v>925</v>
      </c>
      <c r="C439" s="55" t="s">
        <v>419</v>
      </c>
      <c r="D439" s="55" t="s">
        <v>1151</v>
      </c>
      <c r="E439" s="55" t="s">
        <v>1428</v>
      </c>
      <c r="F439" s="55" t="s">
        <v>920</v>
      </c>
      <c r="G439" s="436">
        <f aca="true" t="shared" si="45" ref="G439:H441">G440</f>
        <v>88060</v>
      </c>
      <c r="H439" s="436">
        <f t="shared" si="45"/>
        <v>89093</v>
      </c>
      <c r="J439" s="436">
        <f>J440</f>
        <v>89093</v>
      </c>
      <c r="K439" s="475">
        <f t="shared" si="43"/>
        <v>101.17306382012264</v>
      </c>
      <c r="L439" s="475">
        <f t="shared" si="44"/>
        <v>100</v>
      </c>
    </row>
    <row r="440" spans="1:12" ht="18.75" customHeight="1">
      <c r="A440" s="57" t="s">
        <v>460</v>
      </c>
      <c r="B440" s="52" t="s">
        <v>925</v>
      </c>
      <c r="C440" s="55" t="s">
        <v>419</v>
      </c>
      <c r="D440" s="55" t="s">
        <v>1151</v>
      </c>
      <c r="E440" s="55" t="s">
        <v>1428</v>
      </c>
      <c r="F440" s="55" t="s">
        <v>920</v>
      </c>
      <c r="G440" s="436">
        <f t="shared" si="45"/>
        <v>88060</v>
      </c>
      <c r="H440" s="436">
        <f t="shared" si="45"/>
        <v>89093</v>
      </c>
      <c r="J440" s="436">
        <f>J441</f>
        <v>89093</v>
      </c>
      <c r="K440" s="475">
        <f t="shared" si="43"/>
        <v>101.17306382012264</v>
      </c>
      <c r="L440" s="475">
        <f t="shared" si="44"/>
        <v>100</v>
      </c>
    </row>
    <row r="441" spans="1:12" ht="28.5" customHeight="1">
      <c r="A441" s="62" t="s">
        <v>139</v>
      </c>
      <c r="B441" s="52" t="s">
        <v>925</v>
      </c>
      <c r="C441" s="55" t="s">
        <v>419</v>
      </c>
      <c r="D441" s="55" t="s">
        <v>1151</v>
      </c>
      <c r="E441" s="55" t="s">
        <v>1428</v>
      </c>
      <c r="F441" s="55" t="s">
        <v>1454</v>
      </c>
      <c r="G441" s="436">
        <f t="shared" si="45"/>
        <v>88060</v>
      </c>
      <c r="H441" s="436">
        <f t="shared" si="45"/>
        <v>89093</v>
      </c>
      <c r="J441" s="436">
        <f>J442</f>
        <v>89093</v>
      </c>
      <c r="K441" s="475">
        <f t="shared" si="43"/>
        <v>101.17306382012264</v>
      </c>
      <c r="L441" s="475">
        <f t="shared" si="44"/>
        <v>100</v>
      </c>
    </row>
    <row r="442" spans="1:12" ht="23.25" customHeight="1">
      <c r="A442" s="57" t="s">
        <v>512</v>
      </c>
      <c r="B442" s="52" t="s">
        <v>925</v>
      </c>
      <c r="C442" s="55" t="s">
        <v>419</v>
      </c>
      <c r="D442" s="55" t="s">
        <v>1151</v>
      </c>
      <c r="E442" s="55" t="s">
        <v>1428</v>
      </c>
      <c r="F442" s="55" t="s">
        <v>554</v>
      </c>
      <c r="G442" s="437">
        <v>88060</v>
      </c>
      <c r="H442" s="437">
        <f>86916+1144+180+493+360</f>
        <v>89093</v>
      </c>
      <c r="J442" s="437">
        <f>86916+1144+180+493+360</f>
        <v>89093</v>
      </c>
      <c r="K442" s="475">
        <f t="shared" si="43"/>
        <v>101.17306382012264</v>
      </c>
      <c r="L442" s="475">
        <f t="shared" si="44"/>
        <v>100</v>
      </c>
    </row>
    <row r="443" spans="1:12" ht="32.25" customHeight="1">
      <c r="A443" s="57" t="s">
        <v>1429</v>
      </c>
      <c r="B443" s="52" t="s">
        <v>925</v>
      </c>
      <c r="C443" s="55" t="s">
        <v>419</v>
      </c>
      <c r="D443" s="55" t="s">
        <v>1151</v>
      </c>
      <c r="E443" s="55" t="s">
        <v>1428</v>
      </c>
      <c r="F443" s="55" t="s">
        <v>554</v>
      </c>
      <c r="G443" s="437">
        <v>0</v>
      </c>
      <c r="H443" s="437">
        <v>180</v>
      </c>
      <c r="J443" s="437">
        <v>180</v>
      </c>
      <c r="K443" s="475">
        <v>0</v>
      </c>
      <c r="L443" s="475">
        <f t="shared" si="44"/>
        <v>100</v>
      </c>
    </row>
    <row r="444" spans="1:12" ht="48" customHeight="1">
      <c r="A444" s="62" t="s">
        <v>1054</v>
      </c>
      <c r="B444" s="52" t="s">
        <v>925</v>
      </c>
      <c r="C444" s="55" t="s">
        <v>419</v>
      </c>
      <c r="D444" s="55" t="s">
        <v>1151</v>
      </c>
      <c r="E444" s="55" t="s">
        <v>1055</v>
      </c>
      <c r="F444" s="55"/>
      <c r="G444" s="436">
        <f>G445</f>
        <v>0</v>
      </c>
      <c r="H444" s="436">
        <f>H445</f>
        <v>1000</v>
      </c>
      <c r="J444" s="436">
        <f>J445</f>
        <v>869.9</v>
      </c>
      <c r="K444" s="475">
        <v>0</v>
      </c>
      <c r="L444" s="475">
        <f t="shared" si="44"/>
        <v>86.99</v>
      </c>
    </row>
    <row r="445" spans="1:12" ht="32.25" customHeight="1">
      <c r="A445" s="62" t="s">
        <v>139</v>
      </c>
      <c r="B445" s="52" t="s">
        <v>925</v>
      </c>
      <c r="C445" s="55" t="s">
        <v>419</v>
      </c>
      <c r="D445" s="55" t="s">
        <v>1151</v>
      </c>
      <c r="E445" s="55" t="s">
        <v>1055</v>
      </c>
      <c r="F445" s="55" t="s">
        <v>1454</v>
      </c>
      <c r="G445" s="436">
        <f>G446</f>
        <v>0</v>
      </c>
      <c r="H445" s="436">
        <f>H446</f>
        <v>1000</v>
      </c>
      <c r="J445" s="436">
        <f>J446</f>
        <v>869.9</v>
      </c>
      <c r="K445" s="475">
        <v>0</v>
      </c>
      <c r="L445" s="475">
        <f t="shared" si="44"/>
        <v>86.99</v>
      </c>
    </row>
    <row r="446" spans="1:12" ht="22.5" customHeight="1">
      <c r="A446" s="57" t="s">
        <v>1419</v>
      </c>
      <c r="B446" s="52" t="s">
        <v>925</v>
      </c>
      <c r="C446" s="55" t="s">
        <v>419</v>
      </c>
      <c r="D446" s="55" t="s">
        <v>1151</v>
      </c>
      <c r="E446" s="55" t="s">
        <v>1055</v>
      </c>
      <c r="F446" s="55" t="s">
        <v>554</v>
      </c>
      <c r="G446" s="437">
        <v>0</v>
      </c>
      <c r="H446" s="437">
        <v>1000</v>
      </c>
      <c r="J446" s="437">
        <v>869.9</v>
      </c>
      <c r="K446" s="475">
        <v>0</v>
      </c>
      <c r="L446" s="475">
        <f t="shared" si="44"/>
        <v>86.99</v>
      </c>
    </row>
    <row r="447" spans="1:12" ht="15.75">
      <c r="A447" s="124" t="s">
        <v>436</v>
      </c>
      <c r="B447" s="52" t="s">
        <v>925</v>
      </c>
      <c r="C447" s="69" t="s">
        <v>923</v>
      </c>
      <c r="D447" s="69"/>
      <c r="E447" s="69"/>
      <c r="F447" s="69"/>
      <c r="G447" s="436">
        <f>G448</f>
        <v>110684</v>
      </c>
      <c r="H447" s="436">
        <f>H448</f>
        <v>166854.4</v>
      </c>
      <c r="J447" s="436">
        <f>J448</f>
        <v>165191.5</v>
      </c>
      <c r="K447" s="460">
        <f>J447/G447*100</f>
        <v>149.2460518232084</v>
      </c>
      <c r="L447" s="460">
        <f t="shared" si="44"/>
        <v>99.0033825898508</v>
      </c>
    </row>
    <row r="448" spans="1:12" ht="15.75">
      <c r="A448" s="61" t="s">
        <v>787</v>
      </c>
      <c r="B448" s="52" t="s">
        <v>925</v>
      </c>
      <c r="C448" s="55" t="s">
        <v>923</v>
      </c>
      <c r="D448" s="55" t="s">
        <v>1105</v>
      </c>
      <c r="E448" s="68"/>
      <c r="F448" s="68"/>
      <c r="G448" s="436">
        <f>G449+G469+G473</f>
        <v>110684</v>
      </c>
      <c r="H448" s="436">
        <f>H449+H473</f>
        <v>166854.4</v>
      </c>
      <c r="J448" s="436">
        <f>J449+J473</f>
        <v>165191.5</v>
      </c>
      <c r="K448" s="460">
        <f>J448/G448*100</f>
        <v>149.2460518232084</v>
      </c>
      <c r="L448" s="460">
        <f t="shared" si="44"/>
        <v>99.0033825898508</v>
      </c>
    </row>
    <row r="449" spans="1:12" ht="23.25" customHeight="1">
      <c r="A449" s="56" t="s">
        <v>869</v>
      </c>
      <c r="B449" s="52" t="s">
        <v>925</v>
      </c>
      <c r="C449" s="55" t="s">
        <v>923</v>
      </c>
      <c r="D449" s="55" t="s">
        <v>1105</v>
      </c>
      <c r="E449" s="55" t="s">
        <v>590</v>
      </c>
      <c r="F449" s="55"/>
      <c r="G449" s="436">
        <f>G450</f>
        <v>110684</v>
      </c>
      <c r="H449" s="436">
        <f>H450</f>
        <v>166654.4</v>
      </c>
      <c r="J449" s="436">
        <f>J450</f>
        <v>164991.5</v>
      </c>
      <c r="K449" s="475">
        <f>J449/G449*100</f>
        <v>149.06535723320445</v>
      </c>
      <c r="L449" s="475">
        <f t="shared" si="44"/>
        <v>99.00218656093088</v>
      </c>
    </row>
    <row r="450" spans="1:12" ht="27" customHeight="1">
      <c r="A450" s="57" t="s">
        <v>870</v>
      </c>
      <c r="B450" s="52" t="s">
        <v>925</v>
      </c>
      <c r="C450" s="55" t="s">
        <v>923</v>
      </c>
      <c r="D450" s="55" t="s">
        <v>1105</v>
      </c>
      <c r="E450" s="55" t="s">
        <v>871</v>
      </c>
      <c r="F450" s="55" t="s">
        <v>920</v>
      </c>
      <c r="G450" s="436">
        <f>G451+G455+G460</f>
        <v>110684</v>
      </c>
      <c r="H450" s="436">
        <f>H451+H454+H469</f>
        <v>166654.4</v>
      </c>
      <c r="J450" s="436">
        <f>J451+J454+J469</f>
        <v>164991.5</v>
      </c>
      <c r="K450" s="475">
        <f>J450/G450*100</f>
        <v>149.06535723320445</v>
      </c>
      <c r="L450" s="475">
        <f t="shared" si="44"/>
        <v>99.00218656093088</v>
      </c>
    </row>
    <row r="451" spans="1:12" ht="51" customHeight="1">
      <c r="A451" s="237" t="s">
        <v>873</v>
      </c>
      <c r="B451" s="52" t="s">
        <v>925</v>
      </c>
      <c r="C451" s="55" t="s">
        <v>923</v>
      </c>
      <c r="D451" s="55" t="s">
        <v>1105</v>
      </c>
      <c r="E451" s="55" t="s">
        <v>874</v>
      </c>
      <c r="F451" s="55"/>
      <c r="G451" s="436">
        <f>G452</f>
        <v>0</v>
      </c>
      <c r="H451" s="436">
        <f>H452</f>
        <v>550</v>
      </c>
      <c r="J451" s="436">
        <f>J452</f>
        <v>550</v>
      </c>
      <c r="K451" s="475">
        <v>0</v>
      </c>
      <c r="L451" s="475">
        <f t="shared" si="44"/>
        <v>100</v>
      </c>
    </row>
    <row r="452" spans="1:12" ht="27" customHeight="1">
      <c r="A452" s="62" t="s">
        <v>139</v>
      </c>
      <c r="B452" s="52" t="s">
        <v>925</v>
      </c>
      <c r="C452" s="55" t="s">
        <v>923</v>
      </c>
      <c r="D452" s="55" t="s">
        <v>1105</v>
      </c>
      <c r="E452" s="55" t="s">
        <v>874</v>
      </c>
      <c r="F452" s="55" t="s">
        <v>1454</v>
      </c>
      <c r="G452" s="436">
        <f>G453</f>
        <v>0</v>
      </c>
      <c r="H452" s="436">
        <f>H453</f>
        <v>550</v>
      </c>
      <c r="J452" s="436">
        <f>J453</f>
        <v>550</v>
      </c>
      <c r="K452" s="475">
        <v>0</v>
      </c>
      <c r="L452" s="475">
        <f t="shared" si="44"/>
        <v>100</v>
      </c>
    </row>
    <row r="453" spans="1:12" ht="16.5" customHeight="1">
      <c r="A453" s="57" t="s">
        <v>553</v>
      </c>
      <c r="B453" s="52" t="s">
        <v>925</v>
      </c>
      <c r="C453" s="55" t="s">
        <v>923</v>
      </c>
      <c r="D453" s="55" t="s">
        <v>1105</v>
      </c>
      <c r="E453" s="55" t="s">
        <v>874</v>
      </c>
      <c r="F453" s="55" t="s">
        <v>554</v>
      </c>
      <c r="G453" s="437">
        <v>0</v>
      </c>
      <c r="H453" s="437">
        <v>550</v>
      </c>
      <c r="J453" s="437">
        <v>550</v>
      </c>
      <c r="K453" s="475">
        <v>0</v>
      </c>
      <c r="L453" s="475">
        <f t="shared" si="44"/>
        <v>100</v>
      </c>
    </row>
    <row r="454" spans="1:12" ht="27" customHeight="1">
      <c r="A454" s="62" t="s">
        <v>139</v>
      </c>
      <c r="B454" s="52" t="s">
        <v>925</v>
      </c>
      <c r="C454" s="55" t="s">
        <v>923</v>
      </c>
      <c r="D454" s="55" t="s">
        <v>1105</v>
      </c>
      <c r="E454" s="55" t="s">
        <v>872</v>
      </c>
      <c r="F454" s="55" t="s">
        <v>1454</v>
      </c>
      <c r="G454" s="436">
        <f>G455+G460</f>
        <v>110684</v>
      </c>
      <c r="H454" s="436">
        <f>H455+H460</f>
        <v>129209.9</v>
      </c>
      <c r="J454" s="436">
        <f>J455+J460</f>
        <v>127547</v>
      </c>
      <c r="K454" s="475">
        <f>J454/G454*100</f>
        <v>115.23526435618518</v>
      </c>
      <c r="L454" s="475">
        <f t="shared" si="44"/>
        <v>98.71302431160461</v>
      </c>
    </row>
    <row r="455" spans="1:12" ht="17.25" customHeight="1">
      <c r="A455" s="57" t="s">
        <v>141</v>
      </c>
      <c r="B455" s="52" t="s">
        <v>925</v>
      </c>
      <c r="C455" s="55" t="s">
        <v>923</v>
      </c>
      <c r="D455" s="55" t="s">
        <v>1105</v>
      </c>
      <c r="E455" s="55" t="s">
        <v>872</v>
      </c>
      <c r="F455" s="55" t="s">
        <v>554</v>
      </c>
      <c r="G455" s="437">
        <f>30871</f>
        <v>30871</v>
      </c>
      <c r="H455" s="437">
        <f>30871-330+320-196+146.5+841+434+8-106.5+1470+61.5</f>
        <v>33519.5</v>
      </c>
      <c r="J455" s="437">
        <v>33481.2</v>
      </c>
      <c r="K455" s="475">
        <f>J455/G455*100</f>
        <v>108.45518447734119</v>
      </c>
      <c r="L455" s="475">
        <f t="shared" si="44"/>
        <v>99.88573815241874</v>
      </c>
    </row>
    <row r="456" spans="1:12" ht="24">
      <c r="A456" s="57" t="s">
        <v>467</v>
      </c>
      <c r="B456" s="52" t="s">
        <v>925</v>
      </c>
      <c r="C456" s="55" t="s">
        <v>923</v>
      </c>
      <c r="D456" s="55" t="s">
        <v>1105</v>
      </c>
      <c r="E456" s="55" t="s">
        <v>872</v>
      </c>
      <c r="F456" s="55" t="s">
        <v>554</v>
      </c>
      <c r="G456" s="437">
        <f>2000</f>
        <v>2000</v>
      </c>
      <c r="H456" s="437">
        <f>2000-330-196-237</f>
        <v>1237</v>
      </c>
      <c r="J456" s="437">
        <v>1232</v>
      </c>
      <c r="K456" s="475">
        <f>J456/G456*100</f>
        <v>61.6</v>
      </c>
      <c r="L456" s="475">
        <f t="shared" si="44"/>
        <v>99.59579628132579</v>
      </c>
    </row>
    <row r="457" spans="1:12" ht="24">
      <c r="A457" s="57" t="s">
        <v>875</v>
      </c>
      <c r="B457" s="52" t="s">
        <v>925</v>
      </c>
      <c r="C457" s="55" t="s">
        <v>923</v>
      </c>
      <c r="D457" s="55" t="s">
        <v>1105</v>
      </c>
      <c r="E457" s="55" t="s">
        <v>872</v>
      </c>
      <c r="F457" s="55" t="s">
        <v>554</v>
      </c>
      <c r="G457" s="437">
        <v>0</v>
      </c>
      <c r="H457" s="437">
        <f>146.5+841</f>
        <v>987.5</v>
      </c>
      <c r="J457" s="437">
        <v>985.3</v>
      </c>
      <c r="K457" s="475">
        <v>0</v>
      </c>
      <c r="L457" s="475">
        <f t="shared" si="44"/>
        <v>99.77721518987342</v>
      </c>
    </row>
    <row r="458" spans="1:12" ht="24">
      <c r="A458" s="57" t="s">
        <v>1268</v>
      </c>
      <c r="B458" s="52" t="s">
        <v>925</v>
      </c>
      <c r="C458" s="55" t="s">
        <v>923</v>
      </c>
      <c r="D458" s="55" t="s">
        <v>1105</v>
      </c>
      <c r="E458" s="55" t="s">
        <v>872</v>
      </c>
      <c r="F458" s="55" t="s">
        <v>554</v>
      </c>
      <c r="G458" s="437">
        <v>0</v>
      </c>
      <c r="H458" s="437">
        <f>8+61.5</f>
        <v>69.5</v>
      </c>
      <c r="J458" s="437">
        <v>68.7</v>
      </c>
      <c r="K458" s="475">
        <v>0</v>
      </c>
      <c r="L458" s="475">
        <f aca="true" t="shared" si="46" ref="L458:L488">J458/H458*100</f>
        <v>98.84892086330936</v>
      </c>
    </row>
    <row r="459" spans="1:12" ht="24">
      <c r="A459" s="57" t="s">
        <v>876</v>
      </c>
      <c r="B459" s="52" t="s">
        <v>925</v>
      </c>
      <c r="C459" s="55" t="s">
        <v>923</v>
      </c>
      <c r="D459" s="55" t="s">
        <v>1105</v>
      </c>
      <c r="E459" s="55" t="s">
        <v>872</v>
      </c>
      <c r="F459" s="55" t="s">
        <v>554</v>
      </c>
      <c r="G459" s="437">
        <v>0</v>
      </c>
      <c r="H459" s="437">
        <v>237</v>
      </c>
      <c r="J459" s="437">
        <v>237</v>
      </c>
      <c r="K459" s="475">
        <v>0</v>
      </c>
      <c r="L459" s="475">
        <f t="shared" si="46"/>
        <v>100</v>
      </c>
    </row>
    <row r="460" spans="1:12" ht="24">
      <c r="A460" s="57" t="s">
        <v>267</v>
      </c>
      <c r="B460" s="52" t="s">
        <v>925</v>
      </c>
      <c r="C460" s="55" t="s">
        <v>923</v>
      </c>
      <c r="D460" s="55" t="s">
        <v>1105</v>
      </c>
      <c r="E460" s="55" t="s">
        <v>872</v>
      </c>
      <c r="F460" s="55" t="s">
        <v>446</v>
      </c>
      <c r="G460" s="437">
        <v>79813</v>
      </c>
      <c r="H460" s="437">
        <f>79358.1+330+1040+7612.9+2439.4+3550+196+133.5+519+291.5+220</f>
        <v>95690.4</v>
      </c>
      <c r="J460" s="437">
        <v>94065.8</v>
      </c>
      <c r="K460" s="475">
        <f>J460/G460*100</f>
        <v>117.85774247303071</v>
      </c>
      <c r="L460" s="475">
        <f t="shared" si="46"/>
        <v>98.3022330348708</v>
      </c>
    </row>
    <row r="461" spans="1:12" ht="24">
      <c r="A461" s="57" t="s">
        <v>467</v>
      </c>
      <c r="B461" s="52" t="s">
        <v>925</v>
      </c>
      <c r="C461" s="55" t="s">
        <v>923</v>
      </c>
      <c r="D461" s="55" t="s">
        <v>1105</v>
      </c>
      <c r="E461" s="55" t="s">
        <v>872</v>
      </c>
      <c r="F461" s="55" t="s">
        <v>446</v>
      </c>
      <c r="G461" s="437">
        <v>0</v>
      </c>
      <c r="H461" s="437">
        <f>330+196</f>
        <v>526</v>
      </c>
      <c r="J461" s="437">
        <f>330+196</f>
        <v>526</v>
      </c>
      <c r="K461" s="475">
        <v>0</v>
      </c>
      <c r="L461" s="475">
        <f t="shared" si="46"/>
        <v>100</v>
      </c>
    </row>
    <row r="462" spans="1:12" ht="24">
      <c r="A462" s="57" t="s">
        <v>877</v>
      </c>
      <c r="B462" s="52" t="s">
        <v>925</v>
      </c>
      <c r="C462" s="55" t="s">
        <v>923</v>
      </c>
      <c r="D462" s="55" t="s">
        <v>1105</v>
      </c>
      <c r="E462" s="55" t="s">
        <v>872</v>
      </c>
      <c r="F462" s="55" t="s">
        <v>446</v>
      </c>
      <c r="G462" s="437">
        <v>0</v>
      </c>
      <c r="H462" s="437">
        <v>99.2</v>
      </c>
      <c r="J462" s="437">
        <v>99.2</v>
      </c>
      <c r="K462" s="475">
        <v>0</v>
      </c>
      <c r="L462" s="475">
        <f t="shared" si="46"/>
        <v>100</v>
      </c>
    </row>
    <row r="463" spans="1:12" ht="24">
      <c r="A463" s="57" t="s">
        <v>174</v>
      </c>
      <c r="B463" s="52" t="s">
        <v>925</v>
      </c>
      <c r="C463" s="55" t="s">
        <v>923</v>
      </c>
      <c r="D463" s="55" t="s">
        <v>1105</v>
      </c>
      <c r="E463" s="55" t="s">
        <v>872</v>
      </c>
      <c r="F463" s="55" t="s">
        <v>446</v>
      </c>
      <c r="G463" s="437">
        <v>0</v>
      </c>
      <c r="H463" s="437">
        <v>154</v>
      </c>
      <c r="J463" s="437">
        <v>154</v>
      </c>
      <c r="K463" s="475">
        <v>0</v>
      </c>
      <c r="L463" s="475">
        <f t="shared" si="46"/>
        <v>100</v>
      </c>
    </row>
    <row r="464" spans="1:12" ht="24">
      <c r="A464" s="57" t="s">
        <v>175</v>
      </c>
      <c r="B464" s="52" t="s">
        <v>925</v>
      </c>
      <c r="C464" s="55" t="s">
        <v>923</v>
      </c>
      <c r="D464" s="55" t="s">
        <v>1105</v>
      </c>
      <c r="E464" s="55" t="s">
        <v>872</v>
      </c>
      <c r="F464" s="55" t="s">
        <v>446</v>
      </c>
      <c r="G464" s="437">
        <v>0</v>
      </c>
      <c r="H464" s="437">
        <f>1040-100</f>
        <v>940</v>
      </c>
      <c r="J464" s="437">
        <f>1040-100</f>
        <v>940</v>
      </c>
      <c r="K464" s="475">
        <v>0</v>
      </c>
      <c r="L464" s="475">
        <f t="shared" si="46"/>
        <v>100</v>
      </c>
    </row>
    <row r="465" spans="1:12" ht="36">
      <c r="A465" s="57" t="s">
        <v>176</v>
      </c>
      <c r="B465" s="52" t="s">
        <v>925</v>
      </c>
      <c r="C465" s="55" t="s">
        <v>923</v>
      </c>
      <c r="D465" s="55" t="s">
        <v>1105</v>
      </c>
      <c r="E465" s="55" t="s">
        <v>872</v>
      </c>
      <c r="F465" s="55" t="s">
        <v>446</v>
      </c>
      <c r="G465" s="437">
        <v>0</v>
      </c>
      <c r="H465" s="437">
        <f>7612.9+2439.4+3550+291.5-1250</f>
        <v>12643.8</v>
      </c>
      <c r="J465" s="437">
        <v>12592.5</v>
      </c>
      <c r="K465" s="475">
        <v>0</v>
      </c>
      <c r="L465" s="475">
        <f t="shared" si="46"/>
        <v>99.59426754614911</v>
      </c>
    </row>
    <row r="466" spans="1:12" ht="24">
      <c r="A466" s="57" t="s">
        <v>875</v>
      </c>
      <c r="B466" s="52" t="s">
        <v>925</v>
      </c>
      <c r="C466" s="55" t="s">
        <v>923</v>
      </c>
      <c r="D466" s="55" t="s">
        <v>1105</v>
      </c>
      <c r="E466" s="55" t="s">
        <v>872</v>
      </c>
      <c r="F466" s="55" t="s">
        <v>446</v>
      </c>
      <c r="G466" s="437">
        <v>0</v>
      </c>
      <c r="H466" s="437">
        <f>133.5+519</f>
        <v>652.5</v>
      </c>
      <c r="J466" s="437">
        <v>433.4</v>
      </c>
      <c r="K466" s="475">
        <v>0</v>
      </c>
      <c r="L466" s="475">
        <f t="shared" si="46"/>
        <v>66.42145593869732</v>
      </c>
    </row>
    <row r="467" spans="1:12" ht="24">
      <c r="A467" s="57" t="s">
        <v>177</v>
      </c>
      <c r="B467" s="52" t="s">
        <v>925</v>
      </c>
      <c r="C467" s="55" t="s">
        <v>923</v>
      </c>
      <c r="D467" s="55" t="s">
        <v>1105</v>
      </c>
      <c r="E467" s="55" t="s">
        <v>872</v>
      </c>
      <c r="F467" s="55" t="s">
        <v>446</v>
      </c>
      <c r="G467" s="437">
        <v>0</v>
      </c>
      <c r="H467" s="437">
        <v>220</v>
      </c>
      <c r="J467" s="437">
        <v>220</v>
      </c>
      <c r="K467" s="475">
        <v>0</v>
      </c>
      <c r="L467" s="475">
        <f t="shared" si="46"/>
        <v>100</v>
      </c>
    </row>
    <row r="468" spans="1:12" ht="24">
      <c r="A468" s="57" t="s">
        <v>1268</v>
      </c>
      <c r="B468" s="52" t="s">
        <v>925</v>
      </c>
      <c r="C468" s="55" t="s">
        <v>923</v>
      </c>
      <c r="D468" s="55" t="s">
        <v>1105</v>
      </c>
      <c r="E468" s="55" t="s">
        <v>872</v>
      </c>
      <c r="F468" s="55" t="s">
        <v>446</v>
      </c>
      <c r="G468" s="437">
        <v>0</v>
      </c>
      <c r="H468" s="437">
        <v>98</v>
      </c>
      <c r="J468" s="437">
        <v>94</v>
      </c>
      <c r="K468" s="475">
        <v>0</v>
      </c>
      <c r="L468" s="475">
        <f t="shared" si="46"/>
        <v>95.91836734693877</v>
      </c>
    </row>
    <row r="469" spans="1:12" ht="24">
      <c r="A469" s="62" t="s">
        <v>154</v>
      </c>
      <c r="B469" s="52" t="s">
        <v>925</v>
      </c>
      <c r="C469" s="55" t="s">
        <v>923</v>
      </c>
      <c r="D469" s="55" t="s">
        <v>1105</v>
      </c>
      <c r="E469" s="55" t="s">
        <v>178</v>
      </c>
      <c r="F469" s="55" t="s">
        <v>552</v>
      </c>
      <c r="G469" s="436">
        <f>G470</f>
        <v>0</v>
      </c>
      <c r="H469" s="436">
        <f>H470</f>
        <v>36894.50000000001</v>
      </c>
      <c r="J469" s="436">
        <f>J470</f>
        <v>36894.50000000001</v>
      </c>
      <c r="K469" s="475">
        <v>0</v>
      </c>
      <c r="L469" s="475">
        <f t="shared" si="46"/>
        <v>100</v>
      </c>
    </row>
    <row r="470" spans="1:12" ht="36">
      <c r="A470" s="62" t="s">
        <v>278</v>
      </c>
      <c r="B470" s="52" t="s">
        <v>925</v>
      </c>
      <c r="C470" s="55" t="s">
        <v>923</v>
      </c>
      <c r="D470" s="55" t="s">
        <v>1105</v>
      </c>
      <c r="E470" s="55" t="s">
        <v>178</v>
      </c>
      <c r="F470" s="55" t="s">
        <v>155</v>
      </c>
      <c r="G470" s="436">
        <f>G471+G472</f>
        <v>0</v>
      </c>
      <c r="H470" s="436">
        <f>H471+H472</f>
        <v>36894.50000000001</v>
      </c>
      <c r="J470" s="436">
        <f>J471+J472</f>
        <v>36894.50000000001</v>
      </c>
      <c r="K470" s="475">
        <v>0</v>
      </c>
      <c r="L470" s="475">
        <f t="shared" si="46"/>
        <v>100</v>
      </c>
    </row>
    <row r="471" spans="1:12" ht="60">
      <c r="A471" s="62" t="s">
        <v>179</v>
      </c>
      <c r="B471" s="52" t="s">
        <v>925</v>
      </c>
      <c r="C471" s="55" t="s">
        <v>923</v>
      </c>
      <c r="D471" s="55" t="s">
        <v>1105</v>
      </c>
      <c r="E471" s="55" t="s">
        <v>178</v>
      </c>
      <c r="F471" s="55" t="s">
        <v>155</v>
      </c>
      <c r="G471" s="437">
        <v>0</v>
      </c>
      <c r="H471" s="437">
        <f>110+344.9+33921.8</f>
        <v>34376.700000000004</v>
      </c>
      <c r="J471" s="437">
        <f>110+344.9+33921.8</f>
        <v>34376.700000000004</v>
      </c>
      <c r="K471" s="475">
        <v>0</v>
      </c>
      <c r="L471" s="475">
        <f t="shared" si="46"/>
        <v>100</v>
      </c>
    </row>
    <row r="472" spans="1:12" ht="24">
      <c r="A472" s="62" t="s">
        <v>180</v>
      </c>
      <c r="B472" s="52" t="s">
        <v>925</v>
      </c>
      <c r="C472" s="55" t="s">
        <v>923</v>
      </c>
      <c r="D472" s="55" t="s">
        <v>1105</v>
      </c>
      <c r="E472" s="55" t="s">
        <v>178</v>
      </c>
      <c r="F472" s="55" t="s">
        <v>155</v>
      </c>
      <c r="G472" s="437">
        <v>0</v>
      </c>
      <c r="H472" s="437">
        <v>2517.8</v>
      </c>
      <c r="J472" s="437">
        <v>2517.8</v>
      </c>
      <c r="K472" s="475">
        <v>0</v>
      </c>
      <c r="L472" s="475">
        <f t="shared" si="46"/>
        <v>100</v>
      </c>
    </row>
    <row r="473" spans="1:12" ht="48">
      <c r="A473" s="62" t="s">
        <v>1054</v>
      </c>
      <c r="B473" s="52" t="s">
        <v>925</v>
      </c>
      <c r="C473" s="55" t="s">
        <v>923</v>
      </c>
      <c r="D473" s="55" t="s">
        <v>1105</v>
      </c>
      <c r="E473" s="55" t="s">
        <v>1055</v>
      </c>
      <c r="F473" s="55" t="s">
        <v>920</v>
      </c>
      <c r="G473" s="436">
        <f>G474</f>
        <v>0</v>
      </c>
      <c r="H473" s="436">
        <f>H474</f>
        <v>200</v>
      </c>
      <c r="J473" s="436">
        <f>J474</f>
        <v>200</v>
      </c>
      <c r="K473" s="475">
        <v>0</v>
      </c>
      <c r="L473" s="475">
        <f t="shared" si="46"/>
        <v>100</v>
      </c>
    </row>
    <row r="474" spans="1:12" ht="24">
      <c r="A474" s="62" t="s">
        <v>139</v>
      </c>
      <c r="B474" s="52" t="s">
        <v>925</v>
      </c>
      <c r="C474" s="55" t="s">
        <v>923</v>
      </c>
      <c r="D474" s="55" t="s">
        <v>1105</v>
      </c>
      <c r="E474" s="55" t="s">
        <v>1055</v>
      </c>
      <c r="F474" s="55" t="s">
        <v>1454</v>
      </c>
      <c r="G474" s="436">
        <f>G475</f>
        <v>0</v>
      </c>
      <c r="H474" s="436">
        <f>H475</f>
        <v>200</v>
      </c>
      <c r="J474" s="436">
        <f>J475</f>
        <v>200</v>
      </c>
      <c r="K474" s="475">
        <v>0</v>
      </c>
      <c r="L474" s="475">
        <f t="shared" si="46"/>
        <v>100</v>
      </c>
    </row>
    <row r="475" spans="1:12" ht="24">
      <c r="A475" s="57" t="s">
        <v>1466</v>
      </c>
      <c r="B475" s="52" t="s">
        <v>925</v>
      </c>
      <c r="C475" s="55" t="s">
        <v>923</v>
      </c>
      <c r="D475" s="55" t="s">
        <v>1105</v>
      </c>
      <c r="E475" s="55" t="s">
        <v>1055</v>
      </c>
      <c r="F475" s="55" t="s">
        <v>554</v>
      </c>
      <c r="G475" s="437">
        <v>0</v>
      </c>
      <c r="H475" s="437">
        <v>200</v>
      </c>
      <c r="J475" s="437">
        <v>200</v>
      </c>
      <c r="K475" s="475">
        <v>0</v>
      </c>
      <c r="L475" s="475">
        <f t="shared" si="46"/>
        <v>100</v>
      </c>
    </row>
    <row r="476" spans="1:12" ht="17.25" customHeight="1">
      <c r="A476" s="49" t="s">
        <v>681</v>
      </c>
      <c r="B476" s="50" t="s">
        <v>673</v>
      </c>
      <c r="C476" s="50"/>
      <c r="D476" s="50"/>
      <c r="E476" s="50"/>
      <c r="F476" s="50"/>
      <c r="G476" s="434">
        <f>G477+G574+G606+G678+G756+G767+G909+G930+G936</f>
        <v>1391347</v>
      </c>
      <c r="H476" s="434">
        <f>H477+H574+H606+H678+H756+H767+H909+H930+H936</f>
        <v>1984180.9</v>
      </c>
      <c r="I476" s="434">
        <f>I477+I574+I606+I678+I756+I767+I909+I930+I936</f>
        <v>0</v>
      </c>
      <c r="J476" s="434">
        <f>J477+J574+J606+J678+J756+J767+J909+J930+J936</f>
        <v>1797965.4999999998</v>
      </c>
      <c r="K476" s="51">
        <f aca="true" t="shared" si="47" ref="K476:K490">J476/G476*100</f>
        <v>129.2248087644563</v>
      </c>
      <c r="L476" s="51">
        <f t="shared" si="46"/>
        <v>90.61499886426685</v>
      </c>
    </row>
    <row r="477" spans="1:12" ht="15.75">
      <c r="A477" s="210" t="s">
        <v>1104</v>
      </c>
      <c r="B477" s="52" t="s">
        <v>673</v>
      </c>
      <c r="C477" s="55" t="s">
        <v>1105</v>
      </c>
      <c r="D477" s="55"/>
      <c r="E477" s="55"/>
      <c r="F477" s="55"/>
      <c r="G477" s="436">
        <f>G478+G510+G515</f>
        <v>458581.9</v>
      </c>
      <c r="H477" s="436">
        <f>H478+H510+H515</f>
        <v>764716</v>
      </c>
      <c r="J477" s="436">
        <f>J478+J510+J515</f>
        <v>716173.5</v>
      </c>
      <c r="K477" s="460">
        <f t="shared" si="47"/>
        <v>156.17134038652637</v>
      </c>
      <c r="L477" s="460">
        <f t="shared" si="46"/>
        <v>93.65221860141543</v>
      </c>
    </row>
    <row r="478" spans="1:12" ht="36">
      <c r="A478" s="61" t="s">
        <v>1150</v>
      </c>
      <c r="B478" s="52" t="s">
        <v>673</v>
      </c>
      <c r="C478" s="55" t="s">
        <v>1105</v>
      </c>
      <c r="D478" s="55" t="s">
        <v>1151</v>
      </c>
      <c r="E478" s="55"/>
      <c r="F478" s="55"/>
      <c r="G478" s="436">
        <f>G479</f>
        <v>251237.5</v>
      </c>
      <c r="H478" s="436">
        <f>H479</f>
        <v>252413.1</v>
      </c>
      <c r="J478" s="436">
        <f>J479</f>
        <v>235461.80000000002</v>
      </c>
      <c r="K478" s="460">
        <f t="shared" si="47"/>
        <v>93.72080202995174</v>
      </c>
      <c r="L478" s="460">
        <f t="shared" si="46"/>
        <v>93.28430259760687</v>
      </c>
    </row>
    <row r="479" spans="1:12" ht="15">
      <c r="A479" s="63" t="s">
        <v>66</v>
      </c>
      <c r="B479" s="52" t="s">
        <v>673</v>
      </c>
      <c r="C479" s="55" t="s">
        <v>1105</v>
      </c>
      <c r="D479" s="55" t="s">
        <v>1151</v>
      </c>
      <c r="E479" s="55" t="s">
        <v>718</v>
      </c>
      <c r="F479" s="55"/>
      <c r="G479" s="436">
        <f>G480+G485</f>
        <v>251237.5</v>
      </c>
      <c r="H479" s="436">
        <f>H480+H485</f>
        <v>252413.1</v>
      </c>
      <c r="J479" s="436">
        <f>J480+J485</f>
        <v>235461.80000000002</v>
      </c>
      <c r="K479" s="475">
        <f t="shared" si="47"/>
        <v>93.72080202995174</v>
      </c>
      <c r="L479" s="475">
        <f t="shared" si="46"/>
        <v>93.28430259760687</v>
      </c>
    </row>
    <row r="480" spans="1:12" ht="24">
      <c r="A480" s="62" t="s">
        <v>951</v>
      </c>
      <c r="B480" s="52" t="s">
        <v>673</v>
      </c>
      <c r="C480" s="55" t="s">
        <v>1105</v>
      </c>
      <c r="D480" s="55" t="s">
        <v>1151</v>
      </c>
      <c r="E480" s="55" t="s">
        <v>74</v>
      </c>
      <c r="F480" s="55"/>
      <c r="G480" s="436">
        <f>G481+G483</f>
        <v>11849.8</v>
      </c>
      <c r="H480" s="436">
        <f>H481+H483</f>
        <v>11929.8</v>
      </c>
      <c r="J480" s="436">
        <f>J481+J483</f>
        <v>11239</v>
      </c>
      <c r="K480" s="475">
        <f t="shared" si="47"/>
        <v>94.84548262417931</v>
      </c>
      <c r="L480" s="475">
        <f t="shared" si="46"/>
        <v>94.20945866653256</v>
      </c>
    </row>
    <row r="481" spans="1:12" ht="24">
      <c r="A481" s="206" t="s">
        <v>68</v>
      </c>
      <c r="B481" s="52" t="s">
        <v>673</v>
      </c>
      <c r="C481" s="55" t="s">
        <v>1105</v>
      </c>
      <c r="D481" s="55" t="s">
        <v>1151</v>
      </c>
      <c r="E481" s="55" t="s">
        <v>75</v>
      </c>
      <c r="F481" s="55" t="s">
        <v>528</v>
      </c>
      <c r="G481" s="436">
        <f>G482</f>
        <v>11427.4</v>
      </c>
      <c r="H481" s="436">
        <f>H482</f>
        <v>11507.4</v>
      </c>
      <c r="J481" s="436">
        <f>J482</f>
        <v>10817</v>
      </c>
      <c r="K481" s="475">
        <f t="shared" si="47"/>
        <v>94.65845249138037</v>
      </c>
      <c r="L481" s="475">
        <f t="shared" si="46"/>
        <v>94.0003823626536</v>
      </c>
    </row>
    <row r="482" spans="1:12" ht="24">
      <c r="A482" s="206" t="s">
        <v>710</v>
      </c>
      <c r="B482" s="52" t="s">
        <v>673</v>
      </c>
      <c r="C482" s="55" t="s">
        <v>1105</v>
      </c>
      <c r="D482" s="55" t="s">
        <v>1151</v>
      </c>
      <c r="E482" s="55" t="s">
        <v>75</v>
      </c>
      <c r="F482" s="55" t="s">
        <v>1486</v>
      </c>
      <c r="G482" s="437">
        <f>11427.4</f>
        <v>11427.4</v>
      </c>
      <c r="H482" s="437">
        <f>11427.4+60+20</f>
        <v>11507.4</v>
      </c>
      <c r="J482" s="437">
        <v>10817</v>
      </c>
      <c r="K482" s="475">
        <f t="shared" si="47"/>
        <v>94.65845249138037</v>
      </c>
      <c r="L482" s="475">
        <f t="shared" si="46"/>
        <v>94.0003823626536</v>
      </c>
    </row>
    <row r="483" spans="1:12" ht="24">
      <c r="A483" s="206" t="s">
        <v>68</v>
      </c>
      <c r="B483" s="52" t="s">
        <v>673</v>
      </c>
      <c r="C483" s="55" t="s">
        <v>1105</v>
      </c>
      <c r="D483" s="55" t="s">
        <v>1151</v>
      </c>
      <c r="E483" s="55" t="s">
        <v>76</v>
      </c>
      <c r="F483" s="55" t="s">
        <v>528</v>
      </c>
      <c r="G483" s="436">
        <f>G484</f>
        <v>422.4</v>
      </c>
      <c r="H483" s="436">
        <f>H484</f>
        <v>422.4</v>
      </c>
      <c r="J483" s="436">
        <f>J484</f>
        <v>422</v>
      </c>
      <c r="K483" s="475">
        <f t="shared" si="47"/>
        <v>99.90530303030305</v>
      </c>
      <c r="L483" s="475">
        <f t="shared" si="46"/>
        <v>99.90530303030305</v>
      </c>
    </row>
    <row r="484" spans="1:12" ht="24">
      <c r="A484" s="206" t="s">
        <v>69</v>
      </c>
      <c r="B484" s="52" t="s">
        <v>673</v>
      </c>
      <c r="C484" s="55" t="s">
        <v>1105</v>
      </c>
      <c r="D484" s="55" t="s">
        <v>1151</v>
      </c>
      <c r="E484" s="55" t="s">
        <v>76</v>
      </c>
      <c r="F484" s="55" t="s">
        <v>1486</v>
      </c>
      <c r="G484" s="437">
        <v>422.4</v>
      </c>
      <c r="H484" s="437">
        <v>422.4</v>
      </c>
      <c r="J484" s="437">
        <v>422</v>
      </c>
      <c r="K484" s="475">
        <f t="shared" si="47"/>
        <v>99.90530303030305</v>
      </c>
      <c r="L484" s="475">
        <f t="shared" si="46"/>
        <v>99.90530303030305</v>
      </c>
    </row>
    <row r="485" spans="1:12" ht="24">
      <c r="A485" s="62" t="s">
        <v>952</v>
      </c>
      <c r="B485" s="52" t="s">
        <v>673</v>
      </c>
      <c r="C485" s="55" t="s">
        <v>1105</v>
      </c>
      <c r="D485" s="55" t="s">
        <v>1151</v>
      </c>
      <c r="E485" s="55" t="s">
        <v>78</v>
      </c>
      <c r="F485" s="55"/>
      <c r="G485" s="436">
        <f>G486+G500+G495+G505</f>
        <v>239387.7</v>
      </c>
      <c r="H485" s="436">
        <f>H486+H500+H495+H505</f>
        <v>240483.30000000002</v>
      </c>
      <c r="J485" s="436">
        <f>J486+J500+J495+J505</f>
        <v>224222.80000000002</v>
      </c>
      <c r="K485" s="475">
        <f t="shared" si="47"/>
        <v>93.66512982914327</v>
      </c>
      <c r="L485" s="475">
        <f t="shared" si="46"/>
        <v>93.23840782291327</v>
      </c>
    </row>
    <row r="486" spans="1:12" ht="24">
      <c r="A486" s="57" t="s">
        <v>531</v>
      </c>
      <c r="B486" s="52" t="s">
        <v>673</v>
      </c>
      <c r="C486" s="55" t="s">
        <v>1105</v>
      </c>
      <c r="D486" s="55" t="s">
        <v>1151</v>
      </c>
      <c r="E486" s="55" t="s">
        <v>79</v>
      </c>
      <c r="F486" s="55" t="s">
        <v>920</v>
      </c>
      <c r="G486" s="436">
        <f>G487+G489+G491+G493</f>
        <v>221710.1</v>
      </c>
      <c r="H486" s="436">
        <f>H487+H489+H491+H493</f>
        <v>222805.7</v>
      </c>
      <c r="J486" s="436">
        <f>J487+J489+J491+J493</f>
        <v>209802.1</v>
      </c>
      <c r="K486" s="475">
        <f t="shared" si="47"/>
        <v>94.62902231337227</v>
      </c>
      <c r="L486" s="475">
        <f t="shared" si="46"/>
        <v>94.16370407040753</v>
      </c>
    </row>
    <row r="487" spans="1:12" ht="37.5" customHeight="1">
      <c r="A487" s="206" t="s">
        <v>63</v>
      </c>
      <c r="B487" s="52" t="s">
        <v>673</v>
      </c>
      <c r="C487" s="55" t="s">
        <v>1105</v>
      </c>
      <c r="D487" s="55" t="s">
        <v>1151</v>
      </c>
      <c r="E487" s="55" t="s">
        <v>80</v>
      </c>
      <c r="F487" s="55" t="s">
        <v>64</v>
      </c>
      <c r="G487" s="436">
        <f>G488</f>
        <v>192844.6</v>
      </c>
      <c r="H487" s="436">
        <f>H488</f>
        <v>195720.30000000002</v>
      </c>
      <c r="J487" s="436">
        <f>J488</f>
        <v>183383.1</v>
      </c>
      <c r="K487" s="475">
        <f t="shared" si="47"/>
        <v>95.09371794698944</v>
      </c>
      <c r="L487" s="475">
        <f t="shared" si="46"/>
        <v>93.69651487352102</v>
      </c>
    </row>
    <row r="488" spans="1:12" ht="18.75" customHeight="1">
      <c r="A488" s="206" t="s">
        <v>65</v>
      </c>
      <c r="B488" s="52" t="s">
        <v>673</v>
      </c>
      <c r="C488" s="55" t="s">
        <v>1105</v>
      </c>
      <c r="D488" s="55" t="s">
        <v>1151</v>
      </c>
      <c r="E488" s="55" t="s">
        <v>80</v>
      </c>
      <c r="F488" s="55" t="s">
        <v>527</v>
      </c>
      <c r="G488" s="437">
        <f>192844.6</f>
        <v>192844.6</v>
      </c>
      <c r="H488" s="437">
        <f>192844.6+2875.6+0.1</f>
        <v>195720.30000000002</v>
      </c>
      <c r="J488" s="437">
        <v>183383.1</v>
      </c>
      <c r="K488" s="475">
        <f t="shared" si="47"/>
        <v>95.09371794698944</v>
      </c>
      <c r="L488" s="475">
        <f t="shared" si="46"/>
        <v>93.69651487352102</v>
      </c>
    </row>
    <row r="489" spans="1:12" ht="19.5" customHeight="1">
      <c r="A489" s="206" t="s">
        <v>68</v>
      </c>
      <c r="B489" s="52" t="s">
        <v>673</v>
      </c>
      <c r="C489" s="55" t="s">
        <v>1105</v>
      </c>
      <c r="D489" s="55" t="s">
        <v>1151</v>
      </c>
      <c r="E489" s="55" t="s">
        <v>80</v>
      </c>
      <c r="F489" s="55" t="s">
        <v>528</v>
      </c>
      <c r="G489" s="436">
        <f>G490</f>
        <v>23709</v>
      </c>
      <c r="H489" s="436">
        <f>H490</f>
        <v>21889.1</v>
      </c>
      <c r="J489" s="436">
        <f>J490</f>
        <v>21232.5</v>
      </c>
      <c r="K489" s="475">
        <f t="shared" si="47"/>
        <v>89.55459951916993</v>
      </c>
      <c r="L489" s="475">
        <f aca="true" t="shared" si="48" ref="L489:L494">J489/H489*100</f>
        <v>97.00033349932158</v>
      </c>
    </row>
    <row r="490" spans="1:12" ht="19.5" customHeight="1">
      <c r="A490" s="206" t="s">
        <v>710</v>
      </c>
      <c r="B490" s="52" t="s">
        <v>673</v>
      </c>
      <c r="C490" s="55" t="s">
        <v>1105</v>
      </c>
      <c r="D490" s="55" t="s">
        <v>1151</v>
      </c>
      <c r="E490" s="55" t="s">
        <v>80</v>
      </c>
      <c r="F490" s="55" t="s">
        <v>1486</v>
      </c>
      <c r="G490" s="437">
        <v>23709</v>
      </c>
      <c r="H490" s="437">
        <f>22314-805+2200-960-520-200-100-39.9</f>
        <v>21889.1</v>
      </c>
      <c r="J490" s="437">
        <v>21232.5</v>
      </c>
      <c r="K490" s="475">
        <f t="shared" si="47"/>
        <v>89.55459951916993</v>
      </c>
      <c r="L490" s="475">
        <f t="shared" si="48"/>
        <v>97.00033349932158</v>
      </c>
    </row>
    <row r="491" spans="1:12" ht="18" customHeight="1">
      <c r="A491" s="206" t="s">
        <v>793</v>
      </c>
      <c r="B491" s="52" t="s">
        <v>673</v>
      </c>
      <c r="C491" s="55" t="s">
        <v>1105</v>
      </c>
      <c r="D491" s="55" t="s">
        <v>1151</v>
      </c>
      <c r="E491" s="55" t="s">
        <v>80</v>
      </c>
      <c r="F491" s="55" t="s">
        <v>794</v>
      </c>
      <c r="G491" s="436">
        <f>G492</f>
        <v>0</v>
      </c>
      <c r="H491" s="436">
        <f>H492</f>
        <v>10</v>
      </c>
      <c r="J491" s="436">
        <f>J492</f>
        <v>0.2</v>
      </c>
      <c r="K491" s="475">
        <v>0</v>
      </c>
      <c r="L491" s="475">
        <f t="shared" si="48"/>
        <v>2</v>
      </c>
    </row>
    <row r="492" spans="1:12" ht="18" customHeight="1">
      <c r="A492" s="206" t="s">
        <v>70</v>
      </c>
      <c r="B492" s="52" t="s">
        <v>673</v>
      </c>
      <c r="C492" s="55" t="s">
        <v>1105</v>
      </c>
      <c r="D492" s="55" t="s">
        <v>1151</v>
      </c>
      <c r="E492" s="55" t="s">
        <v>80</v>
      </c>
      <c r="F492" s="55" t="s">
        <v>71</v>
      </c>
      <c r="G492" s="437">
        <v>0</v>
      </c>
      <c r="H492" s="437">
        <v>10</v>
      </c>
      <c r="J492" s="437">
        <v>0.2</v>
      </c>
      <c r="K492" s="475">
        <v>0</v>
      </c>
      <c r="L492" s="475">
        <f t="shared" si="48"/>
        <v>2</v>
      </c>
    </row>
    <row r="493" spans="1:12" ht="24">
      <c r="A493" s="206" t="s">
        <v>793</v>
      </c>
      <c r="B493" s="52" t="s">
        <v>673</v>
      </c>
      <c r="C493" s="55" t="s">
        <v>1105</v>
      </c>
      <c r="D493" s="55" t="s">
        <v>1151</v>
      </c>
      <c r="E493" s="55" t="s">
        <v>81</v>
      </c>
      <c r="F493" s="55" t="s">
        <v>794</v>
      </c>
      <c r="G493" s="436">
        <f>G494</f>
        <v>5156.5</v>
      </c>
      <c r="H493" s="436">
        <f>H494</f>
        <v>5186.299999999999</v>
      </c>
      <c r="J493" s="436">
        <f>J494</f>
        <v>5186.299999999999</v>
      </c>
      <c r="K493" s="475">
        <f aca="true" t="shared" si="49" ref="K493:K509">J493/G493*100</f>
        <v>100.57791137399397</v>
      </c>
      <c r="L493" s="475">
        <f t="shared" si="48"/>
        <v>100</v>
      </c>
    </row>
    <row r="494" spans="1:12" ht="24">
      <c r="A494" s="206" t="s">
        <v>70</v>
      </c>
      <c r="B494" s="52" t="s">
        <v>673</v>
      </c>
      <c r="C494" s="55" t="s">
        <v>1105</v>
      </c>
      <c r="D494" s="55" t="s">
        <v>1151</v>
      </c>
      <c r="E494" s="55" t="s">
        <v>81</v>
      </c>
      <c r="F494" s="55" t="s">
        <v>71</v>
      </c>
      <c r="G494" s="437">
        <v>5156.5</v>
      </c>
      <c r="H494" s="437">
        <f>5146.5-0.1+39.9</f>
        <v>5186.299999999999</v>
      </c>
      <c r="J494" s="437">
        <f>5146.5-0.1+39.9</f>
        <v>5186.299999999999</v>
      </c>
      <c r="K494" s="475">
        <f t="shared" si="49"/>
        <v>100.57791137399397</v>
      </c>
      <c r="L494" s="475">
        <f t="shared" si="48"/>
        <v>100</v>
      </c>
    </row>
    <row r="495" spans="1:12" ht="60">
      <c r="A495" s="57" t="s">
        <v>953</v>
      </c>
      <c r="B495" s="52" t="s">
        <v>673</v>
      </c>
      <c r="C495" s="55" t="s">
        <v>1105</v>
      </c>
      <c r="D495" s="55" t="s">
        <v>1151</v>
      </c>
      <c r="E495" s="55" t="s">
        <v>83</v>
      </c>
      <c r="F495" s="55" t="s">
        <v>920</v>
      </c>
      <c r="G495" s="436">
        <f>G496+G498</f>
        <v>8410.599999999999</v>
      </c>
      <c r="H495" s="436">
        <f>H496+H498</f>
        <v>8410.599999999999</v>
      </c>
      <c r="J495" s="436">
        <f>J496+J498</f>
        <v>5675.5</v>
      </c>
      <c r="K495" s="475">
        <f t="shared" si="49"/>
        <v>67.48032245024137</v>
      </c>
      <c r="L495" s="475">
        <f aca="true" t="shared" si="50" ref="L495:L509">J495/H495*100</f>
        <v>67.48032245024137</v>
      </c>
    </row>
    <row r="496" spans="1:12" ht="48">
      <c r="A496" s="206" t="s">
        <v>63</v>
      </c>
      <c r="B496" s="52" t="s">
        <v>673</v>
      </c>
      <c r="C496" s="55" t="s">
        <v>1105</v>
      </c>
      <c r="D496" s="55" t="s">
        <v>1151</v>
      </c>
      <c r="E496" s="55" t="s">
        <v>83</v>
      </c>
      <c r="F496" s="55" t="s">
        <v>64</v>
      </c>
      <c r="G496" s="436">
        <f>G497</f>
        <v>5692.4</v>
      </c>
      <c r="H496" s="436">
        <f>H497</f>
        <v>5719.099999999999</v>
      </c>
      <c r="J496" s="436">
        <f>J497</f>
        <v>5459.1</v>
      </c>
      <c r="K496" s="475">
        <f t="shared" si="49"/>
        <v>95.90155294779005</v>
      </c>
      <c r="L496" s="475">
        <f t="shared" si="50"/>
        <v>95.45383014810024</v>
      </c>
    </row>
    <row r="497" spans="1:12" ht="13.5" customHeight="1">
      <c r="A497" s="206" t="s">
        <v>65</v>
      </c>
      <c r="B497" s="52" t="s">
        <v>673</v>
      </c>
      <c r="C497" s="55" t="s">
        <v>1105</v>
      </c>
      <c r="D497" s="55" t="s">
        <v>1151</v>
      </c>
      <c r="E497" s="55" t="s">
        <v>83</v>
      </c>
      <c r="F497" s="55" t="s">
        <v>527</v>
      </c>
      <c r="G497" s="437">
        <f>5692.4</f>
        <v>5692.4</v>
      </c>
      <c r="H497" s="437">
        <f>5692.4+26.7</f>
        <v>5719.099999999999</v>
      </c>
      <c r="J497" s="437">
        <v>5459.1</v>
      </c>
      <c r="K497" s="475">
        <f t="shared" si="49"/>
        <v>95.90155294779005</v>
      </c>
      <c r="L497" s="475">
        <f t="shared" si="50"/>
        <v>95.45383014810024</v>
      </c>
    </row>
    <row r="498" spans="1:12" ht="13.5" customHeight="1">
      <c r="A498" s="206" t="s">
        <v>68</v>
      </c>
      <c r="B498" s="52" t="s">
        <v>673</v>
      </c>
      <c r="C498" s="55" t="s">
        <v>1105</v>
      </c>
      <c r="D498" s="55" t="s">
        <v>1151</v>
      </c>
      <c r="E498" s="55" t="s">
        <v>83</v>
      </c>
      <c r="F498" s="55" t="s">
        <v>528</v>
      </c>
      <c r="G498" s="436">
        <f>G499</f>
        <v>2718.2</v>
      </c>
      <c r="H498" s="436">
        <f>H499</f>
        <v>2691.5</v>
      </c>
      <c r="J498" s="436">
        <f>J499</f>
        <v>216.4</v>
      </c>
      <c r="K498" s="475">
        <f t="shared" si="49"/>
        <v>7.961150761533369</v>
      </c>
      <c r="L498" s="475">
        <f t="shared" si="50"/>
        <v>8.04012632361137</v>
      </c>
    </row>
    <row r="499" spans="1:12" ht="24">
      <c r="A499" s="206" t="s">
        <v>710</v>
      </c>
      <c r="B499" s="52" t="s">
        <v>673</v>
      </c>
      <c r="C499" s="55" t="s">
        <v>1105</v>
      </c>
      <c r="D499" s="55" t="s">
        <v>1151</v>
      </c>
      <c r="E499" s="55" t="s">
        <v>83</v>
      </c>
      <c r="F499" s="55" t="s">
        <v>1486</v>
      </c>
      <c r="G499" s="437">
        <f>2718.2</f>
        <v>2718.2</v>
      </c>
      <c r="H499" s="437">
        <f>2718.2-26.7</f>
        <v>2691.5</v>
      </c>
      <c r="J499" s="437">
        <v>216.4</v>
      </c>
      <c r="K499" s="475">
        <f t="shared" si="49"/>
        <v>7.961150761533369</v>
      </c>
      <c r="L499" s="475">
        <f t="shared" si="50"/>
        <v>8.04012632361137</v>
      </c>
    </row>
    <row r="500" spans="1:12" ht="36">
      <c r="A500" s="206" t="s">
        <v>529</v>
      </c>
      <c r="B500" s="52" t="s">
        <v>673</v>
      </c>
      <c r="C500" s="55" t="s">
        <v>1105</v>
      </c>
      <c r="D500" s="55" t="s">
        <v>1151</v>
      </c>
      <c r="E500" s="55" t="s">
        <v>84</v>
      </c>
      <c r="F500" s="55" t="s">
        <v>920</v>
      </c>
      <c r="G500" s="436">
        <f>G501+G503</f>
        <v>4431</v>
      </c>
      <c r="H500" s="436">
        <f>H501+H503</f>
        <v>4431</v>
      </c>
      <c r="J500" s="436">
        <f>J501+J503</f>
        <v>4019.1</v>
      </c>
      <c r="K500" s="475">
        <f t="shared" si="49"/>
        <v>90.70412999322951</v>
      </c>
      <c r="L500" s="475">
        <f t="shared" si="50"/>
        <v>90.70412999322951</v>
      </c>
    </row>
    <row r="501" spans="1:12" ht="48">
      <c r="A501" s="206" t="s">
        <v>63</v>
      </c>
      <c r="B501" s="52" t="s">
        <v>673</v>
      </c>
      <c r="C501" s="55" t="s">
        <v>1105</v>
      </c>
      <c r="D501" s="55" t="s">
        <v>1151</v>
      </c>
      <c r="E501" s="55" t="s">
        <v>84</v>
      </c>
      <c r="F501" s="55" t="s">
        <v>64</v>
      </c>
      <c r="G501" s="436">
        <f>G502</f>
        <v>3942.8</v>
      </c>
      <c r="H501" s="436">
        <f>H502</f>
        <v>3942.8</v>
      </c>
      <c r="J501" s="436">
        <f>J502</f>
        <v>3688</v>
      </c>
      <c r="K501" s="475">
        <f t="shared" si="49"/>
        <v>93.53758750126812</v>
      </c>
      <c r="L501" s="475">
        <f t="shared" si="50"/>
        <v>93.53758750126812</v>
      </c>
    </row>
    <row r="502" spans="1:12" ht="25.5" customHeight="1">
      <c r="A502" s="206" t="s">
        <v>65</v>
      </c>
      <c r="B502" s="52" t="s">
        <v>673</v>
      </c>
      <c r="C502" s="55" t="s">
        <v>1105</v>
      </c>
      <c r="D502" s="55" t="s">
        <v>1151</v>
      </c>
      <c r="E502" s="55" t="s">
        <v>84</v>
      </c>
      <c r="F502" s="55" t="s">
        <v>527</v>
      </c>
      <c r="G502" s="437">
        <v>3942.8</v>
      </c>
      <c r="H502" s="437">
        <v>3942.8</v>
      </c>
      <c r="J502" s="437">
        <v>3688</v>
      </c>
      <c r="K502" s="475">
        <f t="shared" si="49"/>
        <v>93.53758750126812</v>
      </c>
      <c r="L502" s="475">
        <f t="shared" si="50"/>
        <v>93.53758750126812</v>
      </c>
    </row>
    <row r="503" spans="1:12" ht="23.25" customHeight="1">
      <c r="A503" s="206" t="s">
        <v>68</v>
      </c>
      <c r="B503" s="52" t="s">
        <v>673</v>
      </c>
      <c r="C503" s="55" t="s">
        <v>1105</v>
      </c>
      <c r="D503" s="55" t="s">
        <v>1151</v>
      </c>
      <c r="E503" s="55" t="s">
        <v>84</v>
      </c>
      <c r="F503" s="55" t="s">
        <v>528</v>
      </c>
      <c r="G503" s="436">
        <f>G504</f>
        <v>488.2</v>
      </c>
      <c r="H503" s="436">
        <f>H504</f>
        <v>488.2</v>
      </c>
      <c r="J503" s="436">
        <f>J504</f>
        <v>331.1</v>
      </c>
      <c r="K503" s="475">
        <f t="shared" si="49"/>
        <v>67.82056534207292</v>
      </c>
      <c r="L503" s="475">
        <f t="shared" si="50"/>
        <v>67.82056534207292</v>
      </c>
    </row>
    <row r="504" spans="1:12" ht="20.25" customHeight="1">
      <c r="A504" s="206" t="s">
        <v>710</v>
      </c>
      <c r="B504" s="52" t="s">
        <v>673</v>
      </c>
      <c r="C504" s="55" t="s">
        <v>1105</v>
      </c>
      <c r="D504" s="55" t="s">
        <v>1151</v>
      </c>
      <c r="E504" s="55" t="s">
        <v>84</v>
      </c>
      <c r="F504" s="55" t="s">
        <v>1486</v>
      </c>
      <c r="G504" s="437">
        <v>488.2</v>
      </c>
      <c r="H504" s="437">
        <v>488.2</v>
      </c>
      <c r="J504" s="437">
        <v>331.1</v>
      </c>
      <c r="K504" s="475">
        <f t="shared" si="49"/>
        <v>67.82056534207292</v>
      </c>
      <c r="L504" s="475">
        <f t="shared" si="50"/>
        <v>67.82056534207292</v>
      </c>
    </row>
    <row r="505" spans="1:12" ht="48">
      <c r="A505" s="206" t="s">
        <v>639</v>
      </c>
      <c r="B505" s="52" t="s">
        <v>673</v>
      </c>
      <c r="C505" s="55" t="s">
        <v>1105</v>
      </c>
      <c r="D505" s="55" t="s">
        <v>1151</v>
      </c>
      <c r="E505" s="55" t="s">
        <v>640</v>
      </c>
      <c r="F505" s="55" t="s">
        <v>920</v>
      </c>
      <c r="G505" s="436">
        <f>G506+G508</f>
        <v>4836</v>
      </c>
      <c r="H505" s="436">
        <f>H506+H508</f>
        <v>4836</v>
      </c>
      <c r="J505" s="436">
        <f>J506+J508</f>
        <v>4726.099999999999</v>
      </c>
      <c r="K505" s="475">
        <f t="shared" si="49"/>
        <v>97.72746071133167</v>
      </c>
      <c r="L505" s="475">
        <f t="shared" si="50"/>
        <v>97.72746071133167</v>
      </c>
    </row>
    <row r="506" spans="1:12" ht="48">
      <c r="A506" s="206" t="s">
        <v>63</v>
      </c>
      <c r="B506" s="52" t="s">
        <v>673</v>
      </c>
      <c r="C506" s="55" t="s">
        <v>1105</v>
      </c>
      <c r="D506" s="55" t="s">
        <v>1151</v>
      </c>
      <c r="E506" s="55" t="s">
        <v>640</v>
      </c>
      <c r="F506" s="55" t="s">
        <v>64</v>
      </c>
      <c r="G506" s="436">
        <f>G507</f>
        <v>3823.4</v>
      </c>
      <c r="H506" s="436">
        <f>H507</f>
        <v>3951.6</v>
      </c>
      <c r="J506" s="436">
        <f>J507</f>
        <v>3841.7</v>
      </c>
      <c r="K506" s="475">
        <f t="shared" si="49"/>
        <v>100.47863158445362</v>
      </c>
      <c r="L506" s="475">
        <f t="shared" si="50"/>
        <v>97.21884806154469</v>
      </c>
    </row>
    <row r="507" spans="1:12" ht="24">
      <c r="A507" s="206" t="s">
        <v>65</v>
      </c>
      <c r="B507" s="52" t="s">
        <v>673</v>
      </c>
      <c r="C507" s="55" t="s">
        <v>1105</v>
      </c>
      <c r="D507" s="55" t="s">
        <v>1151</v>
      </c>
      <c r="E507" s="55" t="s">
        <v>640</v>
      </c>
      <c r="F507" s="55" t="s">
        <v>527</v>
      </c>
      <c r="G507" s="437">
        <f>3823.4</f>
        <v>3823.4</v>
      </c>
      <c r="H507" s="437">
        <f>3823.4+119.5+36.1-27.4</f>
        <v>3951.6</v>
      </c>
      <c r="J507" s="437">
        <v>3841.7</v>
      </c>
      <c r="K507" s="475">
        <f t="shared" si="49"/>
        <v>100.47863158445362</v>
      </c>
      <c r="L507" s="475">
        <f t="shared" si="50"/>
        <v>97.21884806154469</v>
      </c>
    </row>
    <row r="508" spans="1:12" ht="24">
      <c r="A508" s="206" t="s">
        <v>68</v>
      </c>
      <c r="B508" s="52" t="s">
        <v>673</v>
      </c>
      <c r="C508" s="55" t="s">
        <v>1105</v>
      </c>
      <c r="D508" s="55" t="s">
        <v>1151</v>
      </c>
      <c r="E508" s="55" t="s">
        <v>640</v>
      </c>
      <c r="F508" s="55" t="s">
        <v>528</v>
      </c>
      <c r="G508" s="436">
        <f>G509</f>
        <v>1012.6</v>
      </c>
      <c r="H508" s="436">
        <f>H509</f>
        <v>884.4</v>
      </c>
      <c r="J508" s="436">
        <f>J509</f>
        <v>884.4</v>
      </c>
      <c r="K508" s="475">
        <f t="shared" si="49"/>
        <v>87.33952202251629</v>
      </c>
      <c r="L508" s="475">
        <f t="shared" si="50"/>
        <v>100</v>
      </c>
    </row>
    <row r="509" spans="1:12" ht="15.75" customHeight="1">
      <c r="A509" s="206" t="s">
        <v>710</v>
      </c>
      <c r="B509" s="52" t="s">
        <v>673</v>
      </c>
      <c r="C509" s="55" t="s">
        <v>1105</v>
      </c>
      <c r="D509" s="55" t="s">
        <v>1151</v>
      </c>
      <c r="E509" s="55" t="s">
        <v>640</v>
      </c>
      <c r="F509" s="55" t="s">
        <v>1486</v>
      </c>
      <c r="G509" s="437">
        <v>1012.6</v>
      </c>
      <c r="H509" s="437">
        <f>1012.6-155.6+27.4</f>
        <v>884.4</v>
      </c>
      <c r="J509" s="437">
        <f>1012.6-155.6+27.4</f>
        <v>884.4</v>
      </c>
      <c r="K509" s="475">
        <f t="shared" si="49"/>
        <v>87.33952202251629</v>
      </c>
      <c r="L509" s="475">
        <f t="shared" si="50"/>
        <v>100</v>
      </c>
    </row>
    <row r="510" spans="1:12" ht="15.75">
      <c r="A510" s="61" t="s">
        <v>1315</v>
      </c>
      <c r="B510" s="52" t="s">
        <v>673</v>
      </c>
      <c r="C510" s="55" t="s">
        <v>1105</v>
      </c>
      <c r="D510" s="55" t="s">
        <v>923</v>
      </c>
      <c r="E510" s="55"/>
      <c r="F510" s="55"/>
      <c r="G510" s="436">
        <f aca="true" t="shared" si="51" ref="G510:H513">G511</f>
        <v>7000</v>
      </c>
      <c r="H510" s="436">
        <f t="shared" si="51"/>
        <v>3715.9</v>
      </c>
      <c r="J510" s="436">
        <f>J511</f>
        <v>0</v>
      </c>
      <c r="K510" s="460">
        <f aca="true" t="shared" si="52" ref="K510:K533">J510/G510*100</f>
        <v>0</v>
      </c>
      <c r="L510" s="460">
        <f aca="true" t="shared" si="53" ref="L510:L548">J510/H510*100</f>
        <v>0</v>
      </c>
    </row>
    <row r="511" spans="1:12" ht="15">
      <c r="A511" s="56" t="s">
        <v>1315</v>
      </c>
      <c r="B511" s="52" t="s">
        <v>673</v>
      </c>
      <c r="C511" s="55" t="s">
        <v>1105</v>
      </c>
      <c r="D511" s="55" t="s">
        <v>923</v>
      </c>
      <c r="E511" s="55" t="s">
        <v>648</v>
      </c>
      <c r="F511" s="55"/>
      <c r="G511" s="436">
        <f t="shared" si="51"/>
        <v>7000</v>
      </c>
      <c r="H511" s="436">
        <f t="shared" si="51"/>
        <v>3715.9</v>
      </c>
      <c r="J511" s="436">
        <f>J512</f>
        <v>0</v>
      </c>
      <c r="K511" s="475">
        <f t="shared" si="52"/>
        <v>0</v>
      </c>
      <c r="L511" s="475">
        <f t="shared" si="53"/>
        <v>0</v>
      </c>
    </row>
    <row r="512" spans="1:12" ht="24">
      <c r="A512" s="57" t="s">
        <v>1366</v>
      </c>
      <c r="B512" s="52" t="s">
        <v>673</v>
      </c>
      <c r="C512" s="55" t="s">
        <v>1105</v>
      </c>
      <c r="D512" s="55" t="s">
        <v>923</v>
      </c>
      <c r="E512" s="55" t="s">
        <v>649</v>
      </c>
      <c r="F512" s="55" t="s">
        <v>920</v>
      </c>
      <c r="G512" s="436">
        <f t="shared" si="51"/>
        <v>7000</v>
      </c>
      <c r="H512" s="436">
        <f t="shared" si="51"/>
        <v>3715.9</v>
      </c>
      <c r="J512" s="436">
        <f>J513</f>
        <v>0</v>
      </c>
      <c r="K512" s="475">
        <f t="shared" si="52"/>
        <v>0</v>
      </c>
      <c r="L512" s="475">
        <f t="shared" si="53"/>
        <v>0</v>
      </c>
    </row>
    <row r="513" spans="1:12" ht="24">
      <c r="A513" s="206" t="s">
        <v>793</v>
      </c>
      <c r="B513" s="52" t="s">
        <v>673</v>
      </c>
      <c r="C513" s="55" t="s">
        <v>1105</v>
      </c>
      <c r="D513" s="55" t="s">
        <v>923</v>
      </c>
      <c r="E513" s="55" t="s">
        <v>649</v>
      </c>
      <c r="F513" s="55" t="s">
        <v>794</v>
      </c>
      <c r="G513" s="436">
        <f t="shared" si="51"/>
        <v>7000</v>
      </c>
      <c r="H513" s="436">
        <f t="shared" si="51"/>
        <v>3715.9</v>
      </c>
      <c r="J513" s="436">
        <f>J514</f>
        <v>0</v>
      </c>
      <c r="K513" s="475">
        <f t="shared" si="52"/>
        <v>0</v>
      </c>
      <c r="L513" s="475">
        <f t="shared" si="53"/>
        <v>0</v>
      </c>
    </row>
    <row r="514" spans="1:12" ht="15.75" customHeight="1">
      <c r="A514" s="57" t="s">
        <v>1457</v>
      </c>
      <c r="B514" s="52" t="s">
        <v>673</v>
      </c>
      <c r="C514" s="55" t="s">
        <v>1105</v>
      </c>
      <c r="D514" s="55" t="s">
        <v>923</v>
      </c>
      <c r="E514" s="55" t="s">
        <v>649</v>
      </c>
      <c r="F514" s="55" t="s">
        <v>1458</v>
      </c>
      <c r="G514" s="437">
        <v>7000</v>
      </c>
      <c r="H514" s="437">
        <v>3715.9</v>
      </c>
      <c r="J514" s="437">
        <v>0</v>
      </c>
      <c r="K514" s="475">
        <f t="shared" si="52"/>
        <v>0</v>
      </c>
      <c r="L514" s="475">
        <f t="shared" si="53"/>
        <v>0</v>
      </c>
    </row>
    <row r="515" spans="1:12" ht="15">
      <c r="A515" s="61" t="s">
        <v>1317</v>
      </c>
      <c r="B515" s="52" t="s">
        <v>673</v>
      </c>
      <c r="C515" s="55" t="s">
        <v>1105</v>
      </c>
      <c r="D515" s="55" t="s">
        <v>1367</v>
      </c>
      <c r="E515" s="55"/>
      <c r="F515" s="55"/>
      <c r="G515" s="436">
        <f>G516+G521</f>
        <v>200344.4</v>
      </c>
      <c r="H515" s="436">
        <f>H516+H521</f>
        <v>508587</v>
      </c>
      <c r="J515" s="436">
        <f>J516+J521</f>
        <v>480711.69999999995</v>
      </c>
      <c r="K515" s="475">
        <f t="shared" si="52"/>
        <v>239.9426687244565</v>
      </c>
      <c r="L515" s="475">
        <f t="shared" si="53"/>
        <v>94.51906950040012</v>
      </c>
    </row>
    <row r="516" spans="1:12" ht="30" customHeight="1">
      <c r="A516" s="56" t="s">
        <v>650</v>
      </c>
      <c r="B516" s="52" t="s">
        <v>673</v>
      </c>
      <c r="C516" s="55" t="s">
        <v>1105</v>
      </c>
      <c r="D516" s="55" t="s">
        <v>1367</v>
      </c>
      <c r="E516" s="55" t="s">
        <v>651</v>
      </c>
      <c r="F516" s="55"/>
      <c r="G516" s="436">
        <f aca="true" t="shared" si="54" ref="G516:H519">G517</f>
        <v>2367.5</v>
      </c>
      <c r="H516" s="436">
        <f t="shared" si="54"/>
        <v>2562</v>
      </c>
      <c r="J516" s="436">
        <f>J517</f>
        <v>1653.6</v>
      </c>
      <c r="K516" s="460">
        <f t="shared" si="52"/>
        <v>69.84582893347412</v>
      </c>
      <c r="L516" s="460">
        <f t="shared" si="53"/>
        <v>64.54332552693208</v>
      </c>
    </row>
    <row r="517" spans="1:12" ht="25.5" customHeight="1">
      <c r="A517" s="57" t="s">
        <v>652</v>
      </c>
      <c r="B517" s="52" t="s">
        <v>673</v>
      </c>
      <c r="C517" s="55" t="s">
        <v>1105</v>
      </c>
      <c r="D517" s="55" t="s">
        <v>1367</v>
      </c>
      <c r="E517" s="55" t="s">
        <v>653</v>
      </c>
      <c r="F517" s="55"/>
      <c r="G517" s="436">
        <f t="shared" si="54"/>
        <v>2367.5</v>
      </c>
      <c r="H517" s="436">
        <f t="shared" si="54"/>
        <v>2562</v>
      </c>
      <c r="J517" s="436">
        <f>J518</f>
        <v>1653.6</v>
      </c>
      <c r="K517" s="475">
        <f t="shared" si="52"/>
        <v>69.84582893347412</v>
      </c>
      <c r="L517" s="475">
        <f t="shared" si="53"/>
        <v>64.54332552693208</v>
      </c>
    </row>
    <row r="518" spans="1:12" ht="24">
      <c r="A518" s="57" t="s">
        <v>793</v>
      </c>
      <c r="B518" s="52" t="s">
        <v>673</v>
      </c>
      <c r="C518" s="55" t="s">
        <v>1105</v>
      </c>
      <c r="D518" s="55" t="s">
        <v>1367</v>
      </c>
      <c r="E518" s="55" t="s">
        <v>654</v>
      </c>
      <c r="F518" s="55" t="s">
        <v>794</v>
      </c>
      <c r="G518" s="436">
        <f t="shared" si="54"/>
        <v>2367.5</v>
      </c>
      <c r="H518" s="436">
        <f t="shared" si="54"/>
        <v>2562</v>
      </c>
      <c r="J518" s="436">
        <f>J519</f>
        <v>1653.6</v>
      </c>
      <c r="K518" s="475">
        <f t="shared" si="52"/>
        <v>69.84582893347412</v>
      </c>
      <c r="L518" s="475">
        <f t="shared" si="53"/>
        <v>64.54332552693208</v>
      </c>
    </row>
    <row r="519" spans="1:12" ht="32.25" customHeight="1">
      <c r="A519" s="62" t="s">
        <v>954</v>
      </c>
      <c r="B519" s="52" t="s">
        <v>673</v>
      </c>
      <c r="C519" s="55" t="s">
        <v>1105</v>
      </c>
      <c r="D519" s="55" t="s">
        <v>1367</v>
      </c>
      <c r="E519" s="55" t="s">
        <v>654</v>
      </c>
      <c r="F519" s="55" t="s">
        <v>809</v>
      </c>
      <c r="G519" s="436">
        <f t="shared" si="54"/>
        <v>2367.5</v>
      </c>
      <c r="H519" s="436">
        <f t="shared" si="54"/>
        <v>2562</v>
      </c>
      <c r="J519" s="436">
        <f>J520</f>
        <v>1653.6</v>
      </c>
      <c r="K519" s="475">
        <f t="shared" si="52"/>
        <v>69.84582893347412</v>
      </c>
      <c r="L519" s="475">
        <f t="shared" si="53"/>
        <v>64.54332552693208</v>
      </c>
    </row>
    <row r="520" spans="1:12" ht="48">
      <c r="A520" s="62" t="s">
        <v>955</v>
      </c>
      <c r="B520" s="52" t="s">
        <v>673</v>
      </c>
      <c r="C520" s="55" t="s">
        <v>1105</v>
      </c>
      <c r="D520" s="55" t="s">
        <v>1367</v>
      </c>
      <c r="E520" s="55" t="s">
        <v>654</v>
      </c>
      <c r="F520" s="55" t="s">
        <v>809</v>
      </c>
      <c r="G520" s="437">
        <f>2367.5</f>
        <v>2367.5</v>
      </c>
      <c r="H520" s="437">
        <f>2367.5+194.5</f>
        <v>2562</v>
      </c>
      <c r="J520" s="437">
        <v>1653.6</v>
      </c>
      <c r="K520" s="475">
        <f t="shared" si="52"/>
        <v>69.84582893347412</v>
      </c>
      <c r="L520" s="475">
        <f t="shared" si="53"/>
        <v>64.54332552693208</v>
      </c>
    </row>
    <row r="521" spans="1:12" ht="15">
      <c r="A521" s="63" t="s">
        <v>66</v>
      </c>
      <c r="B521" s="52" t="s">
        <v>673</v>
      </c>
      <c r="C521" s="55" t="s">
        <v>1105</v>
      </c>
      <c r="D521" s="55" t="s">
        <v>1367</v>
      </c>
      <c r="E521" s="55" t="s">
        <v>718</v>
      </c>
      <c r="F521" s="55"/>
      <c r="G521" s="436">
        <f>G522+G529+G540+G549+G558+G566</f>
        <v>197976.9</v>
      </c>
      <c r="H521" s="436">
        <f>H522+H529+H540+H549+H558+H566</f>
        <v>506025</v>
      </c>
      <c r="J521" s="436">
        <f>J522+J529+J540+J549+J558+J566</f>
        <v>479058.1</v>
      </c>
      <c r="K521" s="475">
        <f t="shared" si="52"/>
        <v>241.9767659762326</v>
      </c>
      <c r="L521" s="475">
        <f t="shared" si="53"/>
        <v>94.67083642112544</v>
      </c>
    </row>
    <row r="522" spans="1:12" ht="24">
      <c r="A522" s="62" t="s">
        <v>952</v>
      </c>
      <c r="B522" s="52" t="s">
        <v>673</v>
      </c>
      <c r="C522" s="55" t="s">
        <v>1105</v>
      </c>
      <c r="D522" s="55" t="s">
        <v>1367</v>
      </c>
      <c r="E522" s="55" t="s">
        <v>78</v>
      </c>
      <c r="F522" s="55"/>
      <c r="G522" s="436">
        <f>G523+G525</f>
        <v>10623</v>
      </c>
      <c r="H522" s="436">
        <f>H523+H525</f>
        <v>33268</v>
      </c>
      <c r="J522" s="436">
        <f>J523+J525</f>
        <v>32562.000000000004</v>
      </c>
      <c r="K522" s="475">
        <f t="shared" si="52"/>
        <v>306.5235809093477</v>
      </c>
      <c r="L522" s="475">
        <f t="shared" si="53"/>
        <v>97.87784056751234</v>
      </c>
    </row>
    <row r="523" spans="1:12" ht="24">
      <c r="A523" s="206" t="s">
        <v>68</v>
      </c>
      <c r="B523" s="52" t="s">
        <v>673</v>
      </c>
      <c r="C523" s="55" t="s">
        <v>1105</v>
      </c>
      <c r="D523" s="55" t="s">
        <v>1367</v>
      </c>
      <c r="E523" s="55" t="s">
        <v>657</v>
      </c>
      <c r="F523" s="55" t="s">
        <v>528</v>
      </c>
      <c r="G523" s="436">
        <f>G524</f>
        <v>382</v>
      </c>
      <c r="H523" s="436">
        <f>H524</f>
        <v>1901</v>
      </c>
      <c r="J523" s="436">
        <f>J524</f>
        <v>1810.7</v>
      </c>
      <c r="K523" s="475">
        <f t="shared" si="52"/>
        <v>474.0052356020943</v>
      </c>
      <c r="L523" s="475">
        <f t="shared" si="53"/>
        <v>95.24986849026828</v>
      </c>
    </row>
    <row r="524" spans="1:12" ht="24">
      <c r="A524" s="206" t="s">
        <v>710</v>
      </c>
      <c r="B524" s="52" t="s">
        <v>673</v>
      </c>
      <c r="C524" s="55" t="s">
        <v>1105</v>
      </c>
      <c r="D524" s="55" t="s">
        <v>1367</v>
      </c>
      <c r="E524" s="55" t="s">
        <v>657</v>
      </c>
      <c r="F524" s="55" t="s">
        <v>1486</v>
      </c>
      <c r="G524" s="437">
        <v>382</v>
      </c>
      <c r="H524" s="437">
        <f>992+30+100+201+400+100+78</f>
        <v>1901</v>
      </c>
      <c r="J524" s="437">
        <v>1810.7</v>
      </c>
      <c r="K524" s="475">
        <f t="shared" si="52"/>
        <v>474.0052356020943</v>
      </c>
      <c r="L524" s="475">
        <f t="shared" si="53"/>
        <v>95.24986849026828</v>
      </c>
    </row>
    <row r="525" spans="1:12" ht="24">
      <c r="A525" s="206" t="s">
        <v>793</v>
      </c>
      <c r="B525" s="52" t="s">
        <v>673</v>
      </c>
      <c r="C525" s="55" t="s">
        <v>1105</v>
      </c>
      <c r="D525" s="55" t="s">
        <v>1367</v>
      </c>
      <c r="E525" s="55" t="s">
        <v>657</v>
      </c>
      <c r="F525" s="55" t="s">
        <v>794</v>
      </c>
      <c r="G525" s="436">
        <f>G526+G527+G528</f>
        <v>10241</v>
      </c>
      <c r="H525" s="436">
        <f>H526+H527+H528</f>
        <v>31367</v>
      </c>
      <c r="J525" s="436">
        <f>J526+J527+J528</f>
        <v>30751.300000000003</v>
      </c>
      <c r="K525" s="475">
        <f t="shared" si="52"/>
        <v>300.27634020115227</v>
      </c>
      <c r="L525" s="475">
        <f t="shared" si="53"/>
        <v>98.03710906366565</v>
      </c>
    </row>
    <row r="526" spans="1:12" ht="24">
      <c r="A526" s="206" t="s">
        <v>658</v>
      </c>
      <c r="B526" s="52" t="s">
        <v>673</v>
      </c>
      <c r="C526" s="55" t="s">
        <v>1105</v>
      </c>
      <c r="D526" s="55" t="s">
        <v>1367</v>
      </c>
      <c r="E526" s="55" t="s">
        <v>657</v>
      </c>
      <c r="F526" s="55" t="s">
        <v>659</v>
      </c>
      <c r="G526" s="437">
        <v>500</v>
      </c>
      <c r="H526" s="437">
        <f>730+20712.6</f>
        <v>21442.6</v>
      </c>
      <c r="J526" s="437">
        <v>21432.9</v>
      </c>
      <c r="K526" s="475">
        <f t="shared" si="52"/>
        <v>4286.58</v>
      </c>
      <c r="L526" s="475">
        <f t="shared" si="53"/>
        <v>99.95476294852304</v>
      </c>
    </row>
    <row r="527" spans="1:12" ht="24">
      <c r="A527" s="206" t="s">
        <v>70</v>
      </c>
      <c r="B527" s="52" t="s">
        <v>673</v>
      </c>
      <c r="C527" s="55" t="s">
        <v>1105</v>
      </c>
      <c r="D527" s="55" t="s">
        <v>1367</v>
      </c>
      <c r="E527" s="55" t="s">
        <v>657</v>
      </c>
      <c r="F527" s="55" t="s">
        <v>71</v>
      </c>
      <c r="G527" s="437">
        <v>500</v>
      </c>
      <c r="H527" s="437">
        <f>500+20+85+100+100</f>
        <v>805</v>
      </c>
      <c r="J527" s="437">
        <v>803.9</v>
      </c>
      <c r="K527" s="475">
        <f t="shared" si="52"/>
        <v>160.78</v>
      </c>
      <c r="L527" s="475">
        <f t="shared" si="53"/>
        <v>99.86335403726709</v>
      </c>
    </row>
    <row r="528" spans="1:12" ht="24">
      <c r="A528" s="62" t="s">
        <v>810</v>
      </c>
      <c r="B528" s="52" t="s">
        <v>673</v>
      </c>
      <c r="C528" s="55" t="s">
        <v>1105</v>
      </c>
      <c r="D528" s="55" t="s">
        <v>1367</v>
      </c>
      <c r="E528" s="55" t="s">
        <v>657</v>
      </c>
      <c r="F528" s="55" t="s">
        <v>811</v>
      </c>
      <c r="G528" s="437">
        <v>9241</v>
      </c>
      <c r="H528" s="437">
        <f>8923.4+100+96</f>
        <v>9119.4</v>
      </c>
      <c r="J528" s="437">
        <v>8514.5</v>
      </c>
      <c r="K528" s="475">
        <f t="shared" si="52"/>
        <v>92.13829672113407</v>
      </c>
      <c r="L528" s="475">
        <f t="shared" si="53"/>
        <v>93.36688817246748</v>
      </c>
    </row>
    <row r="529" spans="1:12" ht="24">
      <c r="A529" s="62" t="s">
        <v>660</v>
      </c>
      <c r="B529" s="52" t="s">
        <v>673</v>
      </c>
      <c r="C529" s="55" t="s">
        <v>1105</v>
      </c>
      <c r="D529" s="55" t="s">
        <v>1367</v>
      </c>
      <c r="E529" s="55" t="s">
        <v>661</v>
      </c>
      <c r="F529" s="55"/>
      <c r="G529" s="436">
        <f>G530+G532+G534+G536+G538</f>
        <v>22057</v>
      </c>
      <c r="H529" s="436">
        <f>H530+H532+H534+H536+H538</f>
        <v>42128.1</v>
      </c>
      <c r="J529" s="436">
        <f>J530+J532+J534+J536+J538</f>
        <v>39939.6</v>
      </c>
      <c r="K529" s="475">
        <f t="shared" si="52"/>
        <v>181.07448882440949</v>
      </c>
      <c r="L529" s="475">
        <f t="shared" si="53"/>
        <v>94.8051300675796</v>
      </c>
    </row>
    <row r="530" spans="1:12" ht="48">
      <c r="A530" s="206" t="s">
        <v>63</v>
      </c>
      <c r="B530" s="52" t="s">
        <v>673</v>
      </c>
      <c r="C530" s="55" t="s">
        <v>1105</v>
      </c>
      <c r="D530" s="55" t="s">
        <v>1367</v>
      </c>
      <c r="E530" s="55" t="s">
        <v>662</v>
      </c>
      <c r="F530" s="55" t="s">
        <v>64</v>
      </c>
      <c r="G530" s="436">
        <f>G531</f>
        <v>3268</v>
      </c>
      <c r="H530" s="436">
        <f>H531</f>
        <v>3257.8</v>
      </c>
      <c r="J530" s="436">
        <f>J531</f>
        <v>3122</v>
      </c>
      <c r="K530" s="475">
        <f t="shared" si="52"/>
        <v>95.53243574051407</v>
      </c>
      <c r="L530" s="475">
        <f t="shared" si="53"/>
        <v>95.83154275891705</v>
      </c>
    </row>
    <row r="531" spans="1:12" ht="24">
      <c r="A531" s="62" t="s">
        <v>663</v>
      </c>
      <c r="B531" s="52" t="s">
        <v>673</v>
      </c>
      <c r="C531" s="55" t="s">
        <v>1105</v>
      </c>
      <c r="D531" s="55" t="s">
        <v>1367</v>
      </c>
      <c r="E531" s="55" t="s">
        <v>662</v>
      </c>
      <c r="F531" s="55" t="s">
        <v>1459</v>
      </c>
      <c r="G531" s="437">
        <v>3268</v>
      </c>
      <c r="H531" s="437">
        <f>3246-1.1-0.1+13</f>
        <v>3257.8</v>
      </c>
      <c r="J531" s="437">
        <v>3122</v>
      </c>
      <c r="K531" s="475">
        <f t="shared" si="52"/>
        <v>95.53243574051407</v>
      </c>
      <c r="L531" s="475">
        <f t="shared" si="53"/>
        <v>95.83154275891705</v>
      </c>
    </row>
    <row r="532" spans="1:12" ht="24">
      <c r="A532" s="206" t="s">
        <v>68</v>
      </c>
      <c r="B532" s="52" t="s">
        <v>673</v>
      </c>
      <c r="C532" s="55" t="s">
        <v>1105</v>
      </c>
      <c r="D532" s="55" t="s">
        <v>1367</v>
      </c>
      <c r="E532" s="55" t="s">
        <v>662</v>
      </c>
      <c r="F532" s="55" t="s">
        <v>528</v>
      </c>
      <c r="G532" s="436">
        <f>G533</f>
        <v>1698</v>
      </c>
      <c r="H532" s="436">
        <f>H533</f>
        <v>1849.6000000000001</v>
      </c>
      <c r="J532" s="436">
        <f>J533</f>
        <v>1331.3</v>
      </c>
      <c r="K532" s="475">
        <f t="shared" si="52"/>
        <v>78.4040047114252</v>
      </c>
      <c r="L532" s="475">
        <f t="shared" si="53"/>
        <v>71.9777249134948</v>
      </c>
    </row>
    <row r="533" spans="1:12" ht="24">
      <c r="A533" s="206" t="s">
        <v>710</v>
      </c>
      <c r="B533" s="52" t="s">
        <v>673</v>
      </c>
      <c r="C533" s="55" t="s">
        <v>1105</v>
      </c>
      <c r="D533" s="55" t="s">
        <v>1367</v>
      </c>
      <c r="E533" s="55" t="s">
        <v>662</v>
      </c>
      <c r="F533" s="55" t="s">
        <v>1486</v>
      </c>
      <c r="G533" s="437">
        <v>1698</v>
      </c>
      <c r="H533" s="437">
        <f>1720+37.3+10.4-293.5+161+85.5+129-0.1</f>
        <v>1849.6000000000001</v>
      </c>
      <c r="J533" s="437">
        <v>1331.3</v>
      </c>
      <c r="K533" s="475">
        <f t="shared" si="52"/>
        <v>78.4040047114252</v>
      </c>
      <c r="L533" s="475">
        <f t="shared" si="53"/>
        <v>71.9777249134948</v>
      </c>
    </row>
    <row r="534" spans="1:12" ht="24">
      <c r="A534" s="206" t="s">
        <v>793</v>
      </c>
      <c r="B534" s="52" t="s">
        <v>673</v>
      </c>
      <c r="C534" s="55" t="s">
        <v>1105</v>
      </c>
      <c r="D534" s="55" t="s">
        <v>1367</v>
      </c>
      <c r="E534" s="55" t="s">
        <v>662</v>
      </c>
      <c r="F534" s="55" t="s">
        <v>794</v>
      </c>
      <c r="G534" s="436">
        <f>G535</f>
        <v>0</v>
      </c>
      <c r="H534" s="436">
        <f>H535</f>
        <v>6</v>
      </c>
      <c r="J534" s="436">
        <f>J535</f>
        <v>5.7</v>
      </c>
      <c r="K534" s="475">
        <v>0</v>
      </c>
      <c r="L534" s="475">
        <f t="shared" si="53"/>
        <v>95</v>
      </c>
    </row>
    <row r="535" spans="1:12" ht="24">
      <c r="A535" s="206" t="s">
        <v>70</v>
      </c>
      <c r="B535" s="52" t="s">
        <v>673</v>
      </c>
      <c r="C535" s="55" t="s">
        <v>1105</v>
      </c>
      <c r="D535" s="55" t="s">
        <v>1367</v>
      </c>
      <c r="E535" s="55" t="s">
        <v>662</v>
      </c>
      <c r="F535" s="55" t="s">
        <v>71</v>
      </c>
      <c r="G535" s="437">
        <v>0</v>
      </c>
      <c r="H535" s="437">
        <v>6</v>
      </c>
      <c r="J535" s="437">
        <v>5.7</v>
      </c>
      <c r="K535" s="475">
        <v>0</v>
      </c>
      <c r="L535" s="475">
        <f t="shared" si="53"/>
        <v>95</v>
      </c>
    </row>
    <row r="536" spans="1:12" ht="24">
      <c r="A536" s="206" t="s">
        <v>793</v>
      </c>
      <c r="B536" s="52" t="s">
        <v>673</v>
      </c>
      <c r="C536" s="55" t="s">
        <v>1105</v>
      </c>
      <c r="D536" s="55" t="s">
        <v>1367</v>
      </c>
      <c r="E536" s="55" t="s">
        <v>664</v>
      </c>
      <c r="F536" s="55" t="s">
        <v>794</v>
      </c>
      <c r="G536" s="436">
        <f>G537</f>
        <v>17091</v>
      </c>
      <c r="H536" s="436">
        <f>H537</f>
        <v>17085</v>
      </c>
      <c r="J536" s="436">
        <f>J537</f>
        <v>17085</v>
      </c>
      <c r="K536" s="475">
        <f>J536/G536*100</f>
        <v>99.96489380375635</v>
      </c>
      <c r="L536" s="475">
        <f t="shared" si="53"/>
        <v>100</v>
      </c>
    </row>
    <row r="537" spans="1:12" ht="24">
      <c r="A537" s="206" t="s">
        <v>70</v>
      </c>
      <c r="B537" s="52" t="s">
        <v>673</v>
      </c>
      <c r="C537" s="55" t="s">
        <v>1105</v>
      </c>
      <c r="D537" s="55" t="s">
        <v>1367</v>
      </c>
      <c r="E537" s="55" t="s">
        <v>664</v>
      </c>
      <c r="F537" s="55" t="s">
        <v>71</v>
      </c>
      <c r="G537" s="437">
        <v>17091</v>
      </c>
      <c r="H537" s="437">
        <v>17085</v>
      </c>
      <c r="J537" s="437">
        <v>17085</v>
      </c>
      <c r="K537" s="475">
        <f>J537/G537*100</f>
        <v>99.96489380375635</v>
      </c>
      <c r="L537" s="475">
        <f t="shared" si="53"/>
        <v>100</v>
      </c>
    </row>
    <row r="538" spans="1:12" ht="24">
      <c r="A538" s="206" t="s">
        <v>68</v>
      </c>
      <c r="B538" s="52" t="s">
        <v>673</v>
      </c>
      <c r="C538" s="55" t="s">
        <v>1105</v>
      </c>
      <c r="D538" s="55" t="s">
        <v>1367</v>
      </c>
      <c r="E538" s="55" t="s">
        <v>665</v>
      </c>
      <c r="F538" s="55" t="s">
        <v>528</v>
      </c>
      <c r="G538" s="436">
        <f>G539</f>
        <v>0</v>
      </c>
      <c r="H538" s="436">
        <f>H539</f>
        <v>19929.699999999997</v>
      </c>
      <c r="J538" s="436">
        <f>J539</f>
        <v>18395.6</v>
      </c>
      <c r="K538" s="475">
        <v>0</v>
      </c>
      <c r="L538" s="475">
        <f t="shared" si="53"/>
        <v>92.3024430874524</v>
      </c>
    </row>
    <row r="539" spans="1:12" ht="24">
      <c r="A539" s="206" t="s">
        <v>710</v>
      </c>
      <c r="B539" s="52" t="s">
        <v>673</v>
      </c>
      <c r="C539" s="55" t="s">
        <v>1105</v>
      </c>
      <c r="D539" s="55" t="s">
        <v>1367</v>
      </c>
      <c r="E539" s="55" t="s">
        <v>665</v>
      </c>
      <c r="F539" s="55" t="s">
        <v>1486</v>
      </c>
      <c r="G539" s="437">
        <v>0</v>
      </c>
      <c r="H539" s="437">
        <f>2310.2+31887+0.1-14125.6-13-129</f>
        <v>19929.699999999997</v>
      </c>
      <c r="J539" s="437">
        <v>18395.6</v>
      </c>
      <c r="K539" s="475">
        <v>0</v>
      </c>
      <c r="L539" s="475">
        <f t="shared" si="53"/>
        <v>92.3024430874524</v>
      </c>
    </row>
    <row r="540" spans="1:12" ht="24">
      <c r="A540" s="62" t="s">
        <v>666</v>
      </c>
      <c r="B540" s="52" t="s">
        <v>673</v>
      </c>
      <c r="C540" s="55" t="s">
        <v>1105</v>
      </c>
      <c r="D540" s="55" t="s">
        <v>1367</v>
      </c>
      <c r="E540" s="55" t="s">
        <v>667</v>
      </c>
      <c r="F540" s="55"/>
      <c r="G540" s="436">
        <f>G541+G543+G545+G547</f>
        <v>5849</v>
      </c>
      <c r="H540" s="436">
        <f>H541+H543+H545+H547</f>
        <v>5772.8</v>
      </c>
      <c r="J540" s="436">
        <f>J541+J543+J545+J547</f>
        <v>5523.5</v>
      </c>
      <c r="K540" s="475">
        <f>J540/G540*100</f>
        <v>94.43494614464011</v>
      </c>
      <c r="L540" s="475">
        <f t="shared" si="53"/>
        <v>95.68147172949001</v>
      </c>
    </row>
    <row r="541" spans="1:12" ht="24">
      <c r="A541" s="206" t="s">
        <v>793</v>
      </c>
      <c r="B541" s="52" t="s">
        <v>673</v>
      </c>
      <c r="C541" s="55" t="s">
        <v>1105</v>
      </c>
      <c r="D541" s="55" t="s">
        <v>1367</v>
      </c>
      <c r="E541" s="55" t="s">
        <v>669</v>
      </c>
      <c r="F541" s="55" t="s">
        <v>794</v>
      </c>
      <c r="G541" s="436">
        <f>G542</f>
        <v>0</v>
      </c>
      <c r="H541" s="436">
        <f>H542</f>
        <v>3</v>
      </c>
      <c r="J541" s="436">
        <f>J542</f>
        <v>0.7</v>
      </c>
      <c r="K541" s="475">
        <v>0</v>
      </c>
      <c r="L541" s="475">
        <f t="shared" si="53"/>
        <v>23.333333333333332</v>
      </c>
    </row>
    <row r="542" spans="1:12" ht="24">
      <c r="A542" s="206" t="s">
        <v>70</v>
      </c>
      <c r="B542" s="52" t="s">
        <v>673</v>
      </c>
      <c r="C542" s="55" t="s">
        <v>1105</v>
      </c>
      <c r="D542" s="55" t="s">
        <v>1367</v>
      </c>
      <c r="E542" s="55" t="s">
        <v>669</v>
      </c>
      <c r="F542" s="55" t="s">
        <v>71</v>
      </c>
      <c r="G542" s="437">
        <v>0</v>
      </c>
      <c r="H542" s="437">
        <v>3</v>
      </c>
      <c r="J542" s="437">
        <v>0.7</v>
      </c>
      <c r="K542" s="475">
        <v>0</v>
      </c>
      <c r="L542" s="475">
        <f t="shared" si="53"/>
        <v>23.333333333333332</v>
      </c>
    </row>
    <row r="543" spans="1:12" ht="48">
      <c r="A543" s="206" t="s">
        <v>63</v>
      </c>
      <c r="B543" s="52" t="s">
        <v>673</v>
      </c>
      <c r="C543" s="55" t="s">
        <v>1105</v>
      </c>
      <c r="D543" s="55" t="s">
        <v>1367</v>
      </c>
      <c r="E543" s="55" t="s">
        <v>668</v>
      </c>
      <c r="F543" s="55" t="s">
        <v>64</v>
      </c>
      <c r="G543" s="436">
        <f>G544</f>
        <v>4605</v>
      </c>
      <c r="H543" s="436">
        <f>H544</f>
        <v>4938.5</v>
      </c>
      <c r="J543" s="436">
        <f>J544</f>
        <v>4903.5</v>
      </c>
      <c r="K543" s="475">
        <f aca="true" t="shared" si="55" ref="K543:K548">J543/G543*100</f>
        <v>106.48208469055373</v>
      </c>
      <c r="L543" s="475">
        <f t="shared" si="53"/>
        <v>99.2912827781715</v>
      </c>
    </row>
    <row r="544" spans="1:12" ht="24">
      <c r="A544" s="62" t="s">
        <v>663</v>
      </c>
      <c r="B544" s="52" t="s">
        <v>673</v>
      </c>
      <c r="C544" s="55" t="s">
        <v>1105</v>
      </c>
      <c r="D544" s="55" t="s">
        <v>1367</v>
      </c>
      <c r="E544" s="55" t="s">
        <v>668</v>
      </c>
      <c r="F544" s="55" t="s">
        <v>1459</v>
      </c>
      <c r="G544" s="437">
        <f>4605</f>
        <v>4605</v>
      </c>
      <c r="H544" s="437">
        <f>4605-3.9-1+338.4</f>
        <v>4938.5</v>
      </c>
      <c r="J544" s="437">
        <v>4903.5</v>
      </c>
      <c r="K544" s="475">
        <f t="shared" si="55"/>
        <v>106.48208469055373</v>
      </c>
      <c r="L544" s="475">
        <f t="shared" si="53"/>
        <v>99.2912827781715</v>
      </c>
    </row>
    <row r="545" spans="1:12" ht="23.25" customHeight="1">
      <c r="A545" s="206" t="s">
        <v>68</v>
      </c>
      <c r="B545" s="52" t="s">
        <v>673</v>
      </c>
      <c r="C545" s="55" t="s">
        <v>1105</v>
      </c>
      <c r="D545" s="55" t="s">
        <v>1367</v>
      </c>
      <c r="E545" s="55" t="s">
        <v>668</v>
      </c>
      <c r="F545" s="55" t="s">
        <v>528</v>
      </c>
      <c r="G545" s="436">
        <f>G546</f>
        <v>1237</v>
      </c>
      <c r="H545" s="436">
        <f>H546</f>
        <v>827.3000000000001</v>
      </c>
      <c r="J545" s="436">
        <f>J546</f>
        <v>616</v>
      </c>
      <c r="K545" s="475">
        <f t="shared" si="55"/>
        <v>49.797898140662895</v>
      </c>
      <c r="L545" s="475">
        <f t="shared" si="53"/>
        <v>74.45908376646923</v>
      </c>
    </row>
    <row r="546" spans="1:12" ht="19.5" customHeight="1">
      <c r="A546" s="206" t="s">
        <v>710</v>
      </c>
      <c r="B546" s="52" t="s">
        <v>673</v>
      </c>
      <c r="C546" s="55" t="s">
        <v>1105</v>
      </c>
      <c r="D546" s="55" t="s">
        <v>1367</v>
      </c>
      <c r="E546" s="55" t="s">
        <v>668</v>
      </c>
      <c r="F546" s="55" t="s">
        <v>1486</v>
      </c>
      <c r="G546" s="437">
        <f>1237</f>
        <v>1237</v>
      </c>
      <c r="H546" s="437">
        <f>1237+4.9-76.2-338.4</f>
        <v>827.3000000000001</v>
      </c>
      <c r="J546" s="437">
        <v>616</v>
      </c>
      <c r="K546" s="475">
        <f t="shared" si="55"/>
        <v>49.797898140662895</v>
      </c>
      <c r="L546" s="475">
        <f t="shared" si="53"/>
        <v>74.45908376646923</v>
      </c>
    </row>
    <row r="547" spans="1:12" ht="24">
      <c r="A547" s="206" t="s">
        <v>793</v>
      </c>
      <c r="B547" s="52" t="s">
        <v>673</v>
      </c>
      <c r="C547" s="55" t="s">
        <v>1105</v>
      </c>
      <c r="D547" s="55" t="s">
        <v>1367</v>
      </c>
      <c r="E547" s="55" t="s">
        <v>668</v>
      </c>
      <c r="F547" s="55" t="s">
        <v>794</v>
      </c>
      <c r="G547" s="436">
        <f>G548</f>
        <v>7</v>
      </c>
      <c r="H547" s="436">
        <f>H548</f>
        <v>4</v>
      </c>
      <c r="J547" s="436">
        <f>J548</f>
        <v>3.3</v>
      </c>
      <c r="K547" s="475">
        <f t="shared" si="55"/>
        <v>47.14285714285714</v>
      </c>
      <c r="L547" s="475">
        <f t="shared" si="53"/>
        <v>82.5</v>
      </c>
    </row>
    <row r="548" spans="1:12" ht="24">
      <c r="A548" s="206" t="s">
        <v>70</v>
      </c>
      <c r="B548" s="52" t="s">
        <v>673</v>
      </c>
      <c r="C548" s="55" t="s">
        <v>1105</v>
      </c>
      <c r="D548" s="55" t="s">
        <v>1367</v>
      </c>
      <c r="E548" s="55" t="s">
        <v>668</v>
      </c>
      <c r="F548" s="55" t="s">
        <v>71</v>
      </c>
      <c r="G548" s="437">
        <v>7</v>
      </c>
      <c r="H548" s="437">
        <v>4</v>
      </c>
      <c r="J548" s="437">
        <v>3.3</v>
      </c>
      <c r="K548" s="475">
        <f t="shared" si="55"/>
        <v>47.14285714285714</v>
      </c>
      <c r="L548" s="475">
        <f t="shared" si="53"/>
        <v>82.5</v>
      </c>
    </row>
    <row r="549" spans="1:12" ht="36">
      <c r="A549" s="207" t="s">
        <v>137</v>
      </c>
      <c r="B549" s="52" t="s">
        <v>673</v>
      </c>
      <c r="C549" s="55" t="s">
        <v>1105</v>
      </c>
      <c r="D549" s="55" t="s">
        <v>1367</v>
      </c>
      <c r="E549" s="55" t="s">
        <v>138</v>
      </c>
      <c r="F549" s="55"/>
      <c r="G549" s="436">
        <f>G550+G555</f>
        <v>28585.3</v>
      </c>
      <c r="H549" s="436">
        <f>H550+H555</f>
        <v>50720.2</v>
      </c>
      <c r="J549" s="436">
        <f>J550+J555</f>
        <v>29063.7</v>
      </c>
      <c r="K549" s="475">
        <f>J549/G549*100</f>
        <v>101.67358747328173</v>
      </c>
      <c r="L549" s="475">
        <f aca="true" t="shared" si="56" ref="L549:L565">J549/H549*100</f>
        <v>57.30202167972524</v>
      </c>
    </row>
    <row r="550" spans="1:12" ht="24">
      <c r="A550" s="62" t="s">
        <v>139</v>
      </c>
      <c r="B550" s="52" t="s">
        <v>673</v>
      </c>
      <c r="C550" s="55" t="s">
        <v>1105</v>
      </c>
      <c r="D550" s="55" t="s">
        <v>1367</v>
      </c>
      <c r="E550" s="55" t="s">
        <v>140</v>
      </c>
      <c r="F550" s="55" t="s">
        <v>1454</v>
      </c>
      <c r="G550" s="436">
        <f>G551</f>
        <v>28585.3</v>
      </c>
      <c r="H550" s="436">
        <f>H551</f>
        <v>23561.2</v>
      </c>
      <c r="J550" s="436">
        <f>J551</f>
        <v>22354.9</v>
      </c>
      <c r="K550" s="475">
        <f>J550/G550*100</f>
        <v>78.20418186970227</v>
      </c>
      <c r="L550" s="475">
        <f t="shared" si="56"/>
        <v>94.88014192825493</v>
      </c>
    </row>
    <row r="551" spans="1:12" ht="24">
      <c r="A551" s="57" t="s">
        <v>141</v>
      </c>
      <c r="B551" s="52" t="s">
        <v>673</v>
      </c>
      <c r="C551" s="55" t="s">
        <v>1105</v>
      </c>
      <c r="D551" s="55" t="s">
        <v>1367</v>
      </c>
      <c r="E551" s="55" t="s">
        <v>140</v>
      </c>
      <c r="F551" s="55" t="s">
        <v>554</v>
      </c>
      <c r="G551" s="437">
        <v>28585.3</v>
      </c>
      <c r="H551" s="437">
        <f>29729.3-1144+475.9-1364.5+364.5-4000-500</f>
        <v>23561.2</v>
      </c>
      <c r="J551" s="437">
        <v>22354.9</v>
      </c>
      <c r="K551" s="475">
        <f>J551/G551*100</f>
        <v>78.20418186970227</v>
      </c>
      <c r="L551" s="475">
        <f t="shared" si="56"/>
        <v>94.88014192825493</v>
      </c>
    </row>
    <row r="552" spans="1:12" ht="24">
      <c r="A552" s="57" t="s">
        <v>142</v>
      </c>
      <c r="B552" s="52" t="s">
        <v>673</v>
      </c>
      <c r="C552" s="55" t="s">
        <v>1105</v>
      </c>
      <c r="D552" s="55" t="s">
        <v>1367</v>
      </c>
      <c r="E552" s="55" t="s">
        <v>140</v>
      </c>
      <c r="F552" s="55" t="s">
        <v>554</v>
      </c>
      <c r="G552" s="437">
        <v>0</v>
      </c>
      <c r="H552" s="437">
        <v>475.9</v>
      </c>
      <c r="J552" s="437">
        <v>0</v>
      </c>
      <c r="K552" s="475">
        <v>0</v>
      </c>
      <c r="L552" s="475">
        <f t="shared" si="56"/>
        <v>0</v>
      </c>
    </row>
    <row r="553" spans="1:12" ht="24">
      <c r="A553" s="57" t="s">
        <v>143</v>
      </c>
      <c r="B553" s="52" t="s">
        <v>673</v>
      </c>
      <c r="C553" s="55" t="s">
        <v>1105</v>
      </c>
      <c r="D553" s="55" t="s">
        <v>1367</v>
      </c>
      <c r="E553" s="55" t="s">
        <v>140</v>
      </c>
      <c r="F553" s="55" t="s">
        <v>554</v>
      </c>
      <c r="G553" s="437">
        <v>0</v>
      </c>
      <c r="H553" s="437">
        <f>364.5+93+570</f>
        <v>1027.5</v>
      </c>
      <c r="J553" s="437">
        <v>834</v>
      </c>
      <c r="K553" s="475">
        <v>0</v>
      </c>
      <c r="L553" s="475">
        <f t="shared" si="56"/>
        <v>81.16788321167884</v>
      </c>
    </row>
    <row r="554" spans="1:12" ht="24">
      <c r="A554" s="57" t="s">
        <v>144</v>
      </c>
      <c r="B554" s="52" t="s">
        <v>673</v>
      </c>
      <c r="C554" s="55" t="s">
        <v>1105</v>
      </c>
      <c r="D554" s="55" t="s">
        <v>1367</v>
      </c>
      <c r="E554" s="55" t="s">
        <v>140</v>
      </c>
      <c r="F554" s="55" t="s">
        <v>554</v>
      </c>
      <c r="G554" s="437">
        <v>0</v>
      </c>
      <c r="H554" s="437">
        <v>537</v>
      </c>
      <c r="J554" s="437">
        <v>0</v>
      </c>
      <c r="K554" s="475">
        <v>0</v>
      </c>
      <c r="L554" s="475">
        <f t="shared" si="56"/>
        <v>0</v>
      </c>
    </row>
    <row r="555" spans="1:12" ht="84">
      <c r="A555" s="375" t="s">
        <v>145</v>
      </c>
      <c r="B555" s="52" t="s">
        <v>673</v>
      </c>
      <c r="C555" s="55" t="s">
        <v>1105</v>
      </c>
      <c r="D555" s="55" t="s">
        <v>1367</v>
      </c>
      <c r="E555" s="55" t="s">
        <v>146</v>
      </c>
      <c r="F555" s="55" t="s">
        <v>1454</v>
      </c>
      <c r="G555" s="438">
        <f>G556</f>
        <v>0</v>
      </c>
      <c r="H555" s="438">
        <f>H556</f>
        <v>27159</v>
      </c>
      <c r="J555" s="438">
        <f>J556</f>
        <v>6708.8</v>
      </c>
      <c r="K555" s="475">
        <v>0</v>
      </c>
      <c r="L555" s="475">
        <f t="shared" si="56"/>
        <v>24.70194042490519</v>
      </c>
    </row>
    <row r="556" spans="1:12" ht="24">
      <c r="A556" s="57" t="s">
        <v>512</v>
      </c>
      <c r="B556" s="52" t="s">
        <v>673</v>
      </c>
      <c r="C556" s="55" t="s">
        <v>1105</v>
      </c>
      <c r="D556" s="55" t="s">
        <v>1367</v>
      </c>
      <c r="E556" s="55" t="s">
        <v>146</v>
      </c>
      <c r="F556" s="55" t="s">
        <v>554</v>
      </c>
      <c r="G556" s="437">
        <v>0</v>
      </c>
      <c r="H556" s="437">
        <v>27159</v>
      </c>
      <c r="J556" s="437">
        <v>6708.8</v>
      </c>
      <c r="K556" s="475">
        <v>0</v>
      </c>
      <c r="L556" s="475">
        <f t="shared" si="56"/>
        <v>24.70194042490519</v>
      </c>
    </row>
    <row r="557" spans="1:12" ht="24">
      <c r="A557" s="57" t="s">
        <v>147</v>
      </c>
      <c r="B557" s="52" t="s">
        <v>673</v>
      </c>
      <c r="C557" s="55" t="s">
        <v>1105</v>
      </c>
      <c r="D557" s="55" t="s">
        <v>1367</v>
      </c>
      <c r="E557" s="55" t="s">
        <v>146</v>
      </c>
      <c r="F557" s="55" t="s">
        <v>554</v>
      </c>
      <c r="G557" s="437">
        <v>0</v>
      </c>
      <c r="H557" s="437">
        <v>972.5</v>
      </c>
      <c r="J557" s="437">
        <v>908.4</v>
      </c>
      <c r="K557" s="475">
        <v>0</v>
      </c>
      <c r="L557" s="475">
        <f t="shared" si="56"/>
        <v>93.40874035989717</v>
      </c>
    </row>
    <row r="558" spans="1:12" ht="36">
      <c r="A558" s="62" t="s">
        <v>148</v>
      </c>
      <c r="B558" s="52" t="s">
        <v>673</v>
      </c>
      <c r="C558" s="55" t="s">
        <v>1105</v>
      </c>
      <c r="D558" s="55" t="s">
        <v>1367</v>
      </c>
      <c r="E558" s="55" t="s">
        <v>149</v>
      </c>
      <c r="F558" s="55"/>
      <c r="G558" s="436">
        <f>G559+G564</f>
        <v>36406.899999999994</v>
      </c>
      <c r="H558" s="436">
        <f>H559+H564</f>
        <v>37499.799999999996</v>
      </c>
      <c r="I558" s="436">
        <f>I559+I564</f>
        <v>0</v>
      </c>
      <c r="J558" s="436">
        <f>J559+J564</f>
        <v>35589.6</v>
      </c>
      <c r="K558" s="475">
        <f aca="true" t="shared" si="57" ref="K558:K565">J558/G558*100</f>
        <v>97.75509587468311</v>
      </c>
      <c r="L558" s="475">
        <f t="shared" si="56"/>
        <v>94.90610616589956</v>
      </c>
    </row>
    <row r="559" spans="1:12" ht="24">
      <c r="A559" s="57" t="s">
        <v>526</v>
      </c>
      <c r="B559" s="52" t="s">
        <v>673</v>
      </c>
      <c r="C559" s="55" t="s">
        <v>1105</v>
      </c>
      <c r="D559" s="55" t="s">
        <v>1367</v>
      </c>
      <c r="E559" s="55" t="s">
        <v>150</v>
      </c>
      <c r="F559" s="55" t="s">
        <v>920</v>
      </c>
      <c r="G559" s="436">
        <f>G560+G562</f>
        <v>36404.2</v>
      </c>
      <c r="H559" s="436">
        <f>H560+H562</f>
        <v>37496.1</v>
      </c>
      <c r="I559" s="436">
        <f>I560+I562</f>
        <v>0</v>
      </c>
      <c r="J559" s="436">
        <f>J560+J562</f>
        <v>35586</v>
      </c>
      <c r="K559" s="475">
        <f t="shared" si="57"/>
        <v>97.75245713406696</v>
      </c>
      <c r="L559" s="475">
        <f t="shared" si="56"/>
        <v>94.9058702105019</v>
      </c>
    </row>
    <row r="560" spans="1:12" ht="48">
      <c r="A560" s="206" t="s">
        <v>63</v>
      </c>
      <c r="B560" s="52" t="s">
        <v>673</v>
      </c>
      <c r="C560" s="55" t="s">
        <v>1105</v>
      </c>
      <c r="D560" s="55" t="s">
        <v>1367</v>
      </c>
      <c r="E560" s="55" t="s">
        <v>150</v>
      </c>
      <c r="F560" s="55" t="s">
        <v>64</v>
      </c>
      <c r="G560" s="436">
        <f>G561</f>
        <v>35782.1</v>
      </c>
      <c r="H560" s="436">
        <f>H561</f>
        <v>36562.7</v>
      </c>
      <c r="J560" s="436">
        <f>J561</f>
        <v>34655.9</v>
      </c>
      <c r="K560" s="475">
        <f t="shared" si="57"/>
        <v>96.85261625226022</v>
      </c>
      <c r="L560" s="475">
        <f t="shared" si="56"/>
        <v>94.78484904014202</v>
      </c>
    </row>
    <row r="561" spans="1:12" ht="24">
      <c r="A561" s="206" t="s">
        <v>65</v>
      </c>
      <c r="B561" s="52" t="s">
        <v>673</v>
      </c>
      <c r="C561" s="55" t="s">
        <v>1105</v>
      </c>
      <c r="D561" s="55" t="s">
        <v>1367</v>
      </c>
      <c r="E561" s="55" t="s">
        <v>150</v>
      </c>
      <c r="F561" s="55" t="s">
        <v>527</v>
      </c>
      <c r="G561" s="437">
        <f>35782.1</f>
        <v>35782.1</v>
      </c>
      <c r="H561" s="437">
        <f>35782.1+599.5+181.1</f>
        <v>36562.7</v>
      </c>
      <c r="J561" s="437">
        <v>34655.9</v>
      </c>
      <c r="K561" s="475">
        <f t="shared" si="57"/>
        <v>96.85261625226022</v>
      </c>
      <c r="L561" s="475">
        <f t="shared" si="56"/>
        <v>94.78484904014202</v>
      </c>
    </row>
    <row r="562" spans="1:12" ht="24">
      <c r="A562" s="206" t="s">
        <v>68</v>
      </c>
      <c r="B562" s="52" t="s">
        <v>673</v>
      </c>
      <c r="C562" s="55" t="s">
        <v>1105</v>
      </c>
      <c r="D562" s="55" t="s">
        <v>1367</v>
      </c>
      <c r="E562" s="55" t="s">
        <v>150</v>
      </c>
      <c r="F562" s="55" t="s">
        <v>528</v>
      </c>
      <c r="G562" s="436">
        <f>G563</f>
        <v>622.1</v>
      </c>
      <c r="H562" s="436">
        <f>H563</f>
        <v>933.4</v>
      </c>
      <c r="J562" s="436">
        <f>J563</f>
        <v>930.1</v>
      </c>
      <c r="K562" s="475">
        <f t="shared" si="57"/>
        <v>149.50972512457804</v>
      </c>
      <c r="L562" s="475">
        <f t="shared" si="56"/>
        <v>99.6464538247268</v>
      </c>
    </row>
    <row r="563" spans="1:12" ht="24">
      <c r="A563" s="206" t="s">
        <v>710</v>
      </c>
      <c r="B563" s="52" t="s">
        <v>673</v>
      </c>
      <c r="C563" s="55" t="s">
        <v>1105</v>
      </c>
      <c r="D563" s="55" t="s">
        <v>1367</v>
      </c>
      <c r="E563" s="55" t="s">
        <v>150</v>
      </c>
      <c r="F563" s="55" t="s">
        <v>1486</v>
      </c>
      <c r="G563" s="437">
        <f>622.1</f>
        <v>622.1</v>
      </c>
      <c r="H563" s="437">
        <f>622.1+70-1+234.9+7.4</f>
        <v>933.4</v>
      </c>
      <c r="J563" s="437">
        <v>930.1</v>
      </c>
      <c r="K563" s="475">
        <f t="shared" si="57"/>
        <v>149.50972512457804</v>
      </c>
      <c r="L563" s="475">
        <f t="shared" si="56"/>
        <v>99.6464538247268</v>
      </c>
    </row>
    <row r="564" spans="1:12" ht="24">
      <c r="A564" s="206" t="s">
        <v>793</v>
      </c>
      <c r="B564" s="52" t="s">
        <v>673</v>
      </c>
      <c r="C564" s="55" t="s">
        <v>1105</v>
      </c>
      <c r="D564" s="55" t="s">
        <v>1367</v>
      </c>
      <c r="E564" s="55" t="s">
        <v>151</v>
      </c>
      <c r="F564" s="55" t="s">
        <v>794</v>
      </c>
      <c r="G564" s="436">
        <f>G565</f>
        <v>2.7</v>
      </c>
      <c r="H564" s="436">
        <f>H565</f>
        <v>3.7</v>
      </c>
      <c r="J564" s="436">
        <f>J565</f>
        <v>3.6</v>
      </c>
      <c r="K564" s="475">
        <f t="shared" si="57"/>
        <v>133.33333333333331</v>
      </c>
      <c r="L564" s="475">
        <f t="shared" si="56"/>
        <v>97.29729729729729</v>
      </c>
    </row>
    <row r="565" spans="1:12" ht="24">
      <c r="A565" s="206" t="s">
        <v>70</v>
      </c>
      <c r="B565" s="52" t="s">
        <v>673</v>
      </c>
      <c r="C565" s="55" t="s">
        <v>1105</v>
      </c>
      <c r="D565" s="55" t="s">
        <v>1367</v>
      </c>
      <c r="E565" s="55" t="s">
        <v>151</v>
      </c>
      <c r="F565" s="55" t="s">
        <v>71</v>
      </c>
      <c r="G565" s="437">
        <f>2.7</f>
        <v>2.7</v>
      </c>
      <c r="H565" s="437">
        <f>2.7+1</f>
        <v>3.7</v>
      </c>
      <c r="J565" s="437">
        <v>3.6</v>
      </c>
      <c r="K565" s="475">
        <f t="shared" si="57"/>
        <v>133.33333333333331</v>
      </c>
      <c r="L565" s="475">
        <f t="shared" si="56"/>
        <v>97.29729729729729</v>
      </c>
    </row>
    <row r="566" spans="1:12" ht="72">
      <c r="A566" s="57" t="s">
        <v>152</v>
      </c>
      <c r="B566" s="52" t="s">
        <v>673</v>
      </c>
      <c r="C566" s="55" t="s">
        <v>1105</v>
      </c>
      <c r="D566" s="55" t="s">
        <v>1367</v>
      </c>
      <c r="E566" s="55" t="s">
        <v>153</v>
      </c>
      <c r="F566" s="55"/>
      <c r="G566" s="436">
        <f>G567+G569+G572</f>
        <v>94455.7</v>
      </c>
      <c r="H566" s="436">
        <f>H567+H569+H572</f>
        <v>336636.1</v>
      </c>
      <c r="I566" s="436">
        <f>I567+I569+I572</f>
        <v>0</v>
      </c>
      <c r="J566" s="436">
        <f>J567+J569+J572</f>
        <v>336379.7</v>
      </c>
      <c r="K566" s="475">
        <f>J566/G566*100</f>
        <v>356.1242995393608</v>
      </c>
      <c r="L566" s="475">
        <f aca="true" t="shared" si="58" ref="L566:L573">J566/H566*100</f>
        <v>99.92383466894965</v>
      </c>
    </row>
    <row r="567" spans="1:12" ht="24">
      <c r="A567" s="206" t="s">
        <v>68</v>
      </c>
      <c r="B567" s="52" t="s">
        <v>673</v>
      </c>
      <c r="C567" s="55" t="s">
        <v>1105</v>
      </c>
      <c r="D567" s="55" t="s">
        <v>1367</v>
      </c>
      <c r="E567" s="55" t="s">
        <v>156</v>
      </c>
      <c r="F567" s="55" t="s">
        <v>528</v>
      </c>
      <c r="G567" s="436">
        <f>G568</f>
        <v>879.5</v>
      </c>
      <c r="H567" s="436">
        <f>H568</f>
        <v>248.20000000000005</v>
      </c>
      <c r="J567" s="436">
        <f>J568</f>
        <v>208.4</v>
      </c>
      <c r="K567" s="475">
        <f>J567/G567*100</f>
        <v>23.695281409891987</v>
      </c>
      <c r="L567" s="475">
        <f t="shared" si="58"/>
        <v>83.96454472199838</v>
      </c>
    </row>
    <row r="568" spans="1:12" ht="15.75" customHeight="1">
      <c r="A568" s="206" t="s">
        <v>710</v>
      </c>
      <c r="B568" s="52" t="s">
        <v>673</v>
      </c>
      <c r="C568" s="55" t="s">
        <v>1105</v>
      </c>
      <c r="D568" s="55" t="s">
        <v>1367</v>
      </c>
      <c r="E568" s="55" t="s">
        <v>156</v>
      </c>
      <c r="F568" s="55" t="s">
        <v>1486</v>
      </c>
      <c r="G568" s="437">
        <f>879.5</f>
        <v>879.5</v>
      </c>
      <c r="H568" s="437">
        <f>879.5-59.5-720+487.1-38.9-300</f>
        <v>248.20000000000005</v>
      </c>
      <c r="J568" s="437">
        <v>208.4</v>
      </c>
      <c r="K568" s="475">
        <f>J568/G568*100</f>
        <v>23.695281409891987</v>
      </c>
      <c r="L568" s="475">
        <f t="shared" si="58"/>
        <v>83.96454472199838</v>
      </c>
    </row>
    <row r="569" spans="1:12" ht="19.5" customHeight="1">
      <c r="A569" s="206" t="s">
        <v>68</v>
      </c>
      <c r="B569" s="52" t="s">
        <v>673</v>
      </c>
      <c r="C569" s="55" t="s">
        <v>1105</v>
      </c>
      <c r="D569" s="55" t="s">
        <v>1367</v>
      </c>
      <c r="E569" s="55" t="s">
        <v>157</v>
      </c>
      <c r="F569" s="55" t="s">
        <v>528</v>
      </c>
      <c r="G569" s="436">
        <f>G570</f>
        <v>93576.2</v>
      </c>
      <c r="H569" s="436">
        <f>H570</f>
        <v>336345.8</v>
      </c>
      <c r="J569" s="436">
        <f>J570</f>
        <v>336129.2</v>
      </c>
      <c r="K569" s="475">
        <f>J569/G569*100</f>
        <v>359.2037291533531</v>
      </c>
      <c r="L569" s="475">
        <f t="shared" si="58"/>
        <v>99.93560199057042</v>
      </c>
    </row>
    <row r="570" spans="1:12" ht="21" customHeight="1">
      <c r="A570" s="206" t="s">
        <v>158</v>
      </c>
      <c r="B570" s="52" t="s">
        <v>673</v>
      </c>
      <c r="C570" s="55" t="s">
        <v>1105</v>
      </c>
      <c r="D570" s="55" t="s">
        <v>1367</v>
      </c>
      <c r="E570" s="55" t="s">
        <v>157</v>
      </c>
      <c r="F570" s="55" t="s">
        <v>1486</v>
      </c>
      <c r="G570" s="437">
        <v>93576.2</v>
      </c>
      <c r="H570" s="437">
        <f>720+59.5+30000-15+29.2+30000+450+980+16202+2365.5+406.8+47.5+454.7+0.1+26.1+12.8+682.1+500+30000+80000+7000+301.3+682.1+2950+8193.4+16283+2100+6297+90000+12.6+1174+1054+3938.3-200+2273.4+1365.4</f>
        <v>336345.8</v>
      </c>
      <c r="J570" s="437">
        <v>336129.2</v>
      </c>
      <c r="K570" s="475">
        <f>J570/G570*100</f>
        <v>359.2037291533531</v>
      </c>
      <c r="L570" s="475">
        <f t="shared" si="58"/>
        <v>99.93560199057042</v>
      </c>
    </row>
    <row r="571" spans="1:12" ht="21" customHeight="1">
      <c r="A571" s="206" t="s">
        <v>159</v>
      </c>
      <c r="B571" s="52" t="s">
        <v>673</v>
      </c>
      <c r="C571" s="55" t="s">
        <v>1105</v>
      </c>
      <c r="D571" s="55" t="s">
        <v>1367</v>
      </c>
      <c r="E571" s="55" t="s">
        <v>157</v>
      </c>
      <c r="F571" s="55" t="s">
        <v>1486</v>
      </c>
      <c r="G571" s="437">
        <v>0</v>
      </c>
      <c r="H571" s="437">
        <f>30000+30000+450+980+16202+2365.5+406.8+500+30000+80000+7000+301.3+2950+8193.4+16283+2100+6297+90000+1174+1054+3938.3+2273.4+1365.4</f>
        <v>333834.10000000003</v>
      </c>
      <c r="J571" s="437">
        <f>30000+30000+450+980+16202+2365.5+406.8+500+30000+80000+7000+301.3+2950+8193.4+16283+2100+6297+90000+1174+1054+3938.3+2273.4+1365.4</f>
        <v>333834.10000000003</v>
      </c>
      <c r="K571" s="475">
        <v>0</v>
      </c>
      <c r="L571" s="475">
        <f t="shared" si="58"/>
        <v>100</v>
      </c>
    </row>
    <row r="572" spans="1:12" ht="21" customHeight="1">
      <c r="A572" s="206" t="s">
        <v>793</v>
      </c>
      <c r="B572" s="52" t="s">
        <v>673</v>
      </c>
      <c r="C572" s="55" t="s">
        <v>1105</v>
      </c>
      <c r="D572" s="55" t="s">
        <v>1367</v>
      </c>
      <c r="E572" s="55" t="s">
        <v>157</v>
      </c>
      <c r="F572" s="55" t="s">
        <v>794</v>
      </c>
      <c r="G572" s="436">
        <f>G573</f>
        <v>0</v>
      </c>
      <c r="H572" s="436">
        <f>H573</f>
        <v>42.1</v>
      </c>
      <c r="J572" s="436">
        <f>J573</f>
        <v>42.1</v>
      </c>
      <c r="K572" s="475">
        <v>0</v>
      </c>
      <c r="L572" s="475">
        <f t="shared" si="58"/>
        <v>100</v>
      </c>
    </row>
    <row r="573" spans="1:12" ht="21" customHeight="1">
      <c r="A573" s="206" t="s">
        <v>658</v>
      </c>
      <c r="B573" s="52" t="s">
        <v>673</v>
      </c>
      <c r="C573" s="55" t="s">
        <v>1105</v>
      </c>
      <c r="D573" s="55" t="s">
        <v>1367</v>
      </c>
      <c r="E573" s="55" t="s">
        <v>157</v>
      </c>
      <c r="F573" s="55" t="s">
        <v>659</v>
      </c>
      <c r="G573" s="437">
        <v>0</v>
      </c>
      <c r="H573" s="437">
        <f>25+15+2.1</f>
        <v>42.1</v>
      </c>
      <c r="J573" s="437">
        <f>25+15+2.1</f>
        <v>42.1</v>
      </c>
      <c r="K573" s="475">
        <v>0</v>
      </c>
      <c r="L573" s="475">
        <f t="shared" si="58"/>
        <v>100</v>
      </c>
    </row>
    <row r="574" spans="1:12" ht="25.5">
      <c r="A574" s="58" t="s">
        <v>683</v>
      </c>
      <c r="B574" s="52" t="s">
        <v>673</v>
      </c>
      <c r="C574" s="74" t="s">
        <v>530</v>
      </c>
      <c r="D574" s="74"/>
      <c r="E574" s="74"/>
      <c r="F574" s="74"/>
      <c r="G574" s="444">
        <f>G575+G596</f>
        <v>22073.5</v>
      </c>
      <c r="H574" s="444">
        <f>H575+H596</f>
        <v>22422.6</v>
      </c>
      <c r="I574" s="444">
        <f>I575+I596</f>
        <v>0</v>
      </c>
      <c r="J574" s="444">
        <f>J575+J596</f>
        <v>20776.6</v>
      </c>
      <c r="K574" s="460">
        <f aca="true" t="shared" si="59" ref="K574:K595">J574/G574*100</f>
        <v>94.12462908011868</v>
      </c>
      <c r="L574" s="460">
        <f aca="true" t="shared" si="60" ref="L574:L595">J574/H574*100</f>
        <v>92.65919206514856</v>
      </c>
    </row>
    <row r="575" spans="1:12" ht="24">
      <c r="A575" s="61" t="s">
        <v>1290</v>
      </c>
      <c r="B575" s="52" t="s">
        <v>673</v>
      </c>
      <c r="C575" s="55" t="s">
        <v>530</v>
      </c>
      <c r="D575" s="55" t="s">
        <v>1291</v>
      </c>
      <c r="E575" s="55"/>
      <c r="F575" s="55"/>
      <c r="G575" s="436">
        <f>G576</f>
        <v>14272</v>
      </c>
      <c r="H575" s="436">
        <f>H576</f>
        <v>12962</v>
      </c>
      <c r="J575" s="436">
        <f>J576</f>
        <v>12282.2</v>
      </c>
      <c r="K575" s="460">
        <f t="shared" si="59"/>
        <v>86.05801569506727</v>
      </c>
      <c r="L575" s="460">
        <f t="shared" si="60"/>
        <v>94.75543897546676</v>
      </c>
    </row>
    <row r="576" spans="1:12" ht="33.75" customHeight="1">
      <c r="A576" s="63" t="s">
        <v>160</v>
      </c>
      <c r="B576" s="52" t="s">
        <v>673</v>
      </c>
      <c r="C576" s="55" t="s">
        <v>530</v>
      </c>
      <c r="D576" s="55" t="s">
        <v>1291</v>
      </c>
      <c r="E576" s="55" t="s">
        <v>161</v>
      </c>
      <c r="F576" s="55"/>
      <c r="G576" s="436">
        <f>G577+G587+G591</f>
        <v>14272</v>
      </c>
      <c r="H576" s="436">
        <f>H577+H587+H591</f>
        <v>12962</v>
      </c>
      <c r="J576" s="436">
        <f>J577+J587+J591</f>
        <v>12282.2</v>
      </c>
      <c r="K576" s="475">
        <f t="shared" si="59"/>
        <v>86.05801569506727</v>
      </c>
      <c r="L576" s="475">
        <f t="shared" si="60"/>
        <v>94.75543897546676</v>
      </c>
    </row>
    <row r="577" spans="1:12" ht="39" customHeight="1">
      <c r="A577" s="62" t="s">
        <v>956</v>
      </c>
      <c r="B577" s="52" t="s">
        <v>673</v>
      </c>
      <c r="C577" s="55" t="s">
        <v>530</v>
      </c>
      <c r="D577" s="55" t="s">
        <v>1291</v>
      </c>
      <c r="E577" s="55" t="s">
        <v>163</v>
      </c>
      <c r="F577" s="55"/>
      <c r="G577" s="436">
        <f>G578+G581</f>
        <v>342</v>
      </c>
      <c r="H577" s="436">
        <f>H578+H581</f>
        <v>342</v>
      </c>
      <c r="J577" s="436">
        <f>J578+J581</f>
        <v>195.7</v>
      </c>
      <c r="K577" s="475">
        <f t="shared" si="59"/>
        <v>57.22222222222222</v>
      </c>
      <c r="L577" s="475">
        <f t="shared" si="60"/>
        <v>57.22222222222222</v>
      </c>
    </row>
    <row r="578" spans="1:12" ht="22.5" customHeight="1">
      <c r="A578" s="57" t="s">
        <v>1292</v>
      </c>
      <c r="B578" s="52" t="s">
        <v>673</v>
      </c>
      <c r="C578" s="55" t="s">
        <v>530</v>
      </c>
      <c r="D578" s="55" t="s">
        <v>1291</v>
      </c>
      <c r="E578" s="55" t="s">
        <v>164</v>
      </c>
      <c r="F578" s="55" t="s">
        <v>920</v>
      </c>
      <c r="G578" s="436">
        <f>G580</f>
        <v>211</v>
      </c>
      <c r="H578" s="436">
        <f>H580</f>
        <v>211</v>
      </c>
      <c r="J578" s="436">
        <f>J580</f>
        <v>195.7</v>
      </c>
      <c r="K578" s="475">
        <f t="shared" si="59"/>
        <v>92.74881516587678</v>
      </c>
      <c r="L578" s="475">
        <f t="shared" si="60"/>
        <v>92.74881516587678</v>
      </c>
    </row>
    <row r="579" spans="1:12" ht="22.5" customHeight="1">
      <c r="A579" s="206" t="s">
        <v>68</v>
      </c>
      <c r="B579" s="52" t="s">
        <v>673</v>
      </c>
      <c r="C579" s="55" t="s">
        <v>530</v>
      </c>
      <c r="D579" s="55" t="s">
        <v>1291</v>
      </c>
      <c r="E579" s="55" t="s">
        <v>164</v>
      </c>
      <c r="F579" s="55" t="s">
        <v>528</v>
      </c>
      <c r="G579" s="436">
        <f>G580</f>
        <v>211</v>
      </c>
      <c r="H579" s="436">
        <f>H580</f>
        <v>211</v>
      </c>
      <c r="J579" s="436">
        <f>J580</f>
        <v>195.7</v>
      </c>
      <c r="K579" s="475">
        <f t="shared" si="59"/>
        <v>92.74881516587678</v>
      </c>
      <c r="L579" s="475">
        <f t="shared" si="60"/>
        <v>92.74881516587678</v>
      </c>
    </row>
    <row r="580" spans="1:12" ht="17.25" customHeight="1">
      <c r="A580" s="206" t="s">
        <v>710</v>
      </c>
      <c r="B580" s="52" t="s">
        <v>673</v>
      </c>
      <c r="C580" s="55" t="s">
        <v>530</v>
      </c>
      <c r="D580" s="55" t="s">
        <v>1291</v>
      </c>
      <c r="E580" s="55" t="s">
        <v>164</v>
      </c>
      <c r="F580" s="55" t="s">
        <v>1486</v>
      </c>
      <c r="G580" s="437">
        <v>211</v>
      </c>
      <c r="H580" s="437">
        <v>211</v>
      </c>
      <c r="J580" s="437">
        <v>195.7</v>
      </c>
      <c r="K580" s="475">
        <f t="shared" si="59"/>
        <v>92.74881516587678</v>
      </c>
      <c r="L580" s="475">
        <f t="shared" si="60"/>
        <v>92.74881516587678</v>
      </c>
    </row>
    <row r="581" spans="1:12" ht="22.5" customHeight="1">
      <c r="A581" s="62" t="s">
        <v>1293</v>
      </c>
      <c r="B581" s="52" t="s">
        <v>673</v>
      </c>
      <c r="C581" s="55" t="s">
        <v>530</v>
      </c>
      <c r="D581" s="55" t="s">
        <v>1291</v>
      </c>
      <c r="E581" s="55" t="s">
        <v>165</v>
      </c>
      <c r="F581" s="55" t="s">
        <v>920</v>
      </c>
      <c r="G581" s="436">
        <f>G582</f>
        <v>131</v>
      </c>
      <c r="H581" s="436">
        <f>H582</f>
        <v>131</v>
      </c>
      <c r="J581" s="436">
        <f>J582</f>
        <v>0</v>
      </c>
      <c r="K581" s="475">
        <f t="shared" si="59"/>
        <v>0</v>
      </c>
      <c r="L581" s="475">
        <f t="shared" si="60"/>
        <v>0</v>
      </c>
    </row>
    <row r="582" spans="1:12" ht="24" customHeight="1">
      <c r="A582" s="57" t="s">
        <v>518</v>
      </c>
      <c r="B582" s="52" t="s">
        <v>673</v>
      </c>
      <c r="C582" s="55" t="s">
        <v>530</v>
      </c>
      <c r="D582" s="55" t="s">
        <v>1291</v>
      </c>
      <c r="E582" s="55" t="s">
        <v>165</v>
      </c>
      <c r="F582" s="55" t="s">
        <v>920</v>
      </c>
      <c r="G582" s="436">
        <f>G583+G585</f>
        <v>131</v>
      </c>
      <c r="H582" s="436">
        <f>H583+H585</f>
        <v>131</v>
      </c>
      <c r="J582" s="436">
        <f>J583+J585</f>
        <v>0</v>
      </c>
      <c r="K582" s="475">
        <f t="shared" si="59"/>
        <v>0</v>
      </c>
      <c r="L582" s="475">
        <f t="shared" si="60"/>
        <v>0</v>
      </c>
    </row>
    <row r="583" spans="1:12" ht="24" customHeight="1">
      <c r="A583" s="206" t="s">
        <v>68</v>
      </c>
      <c r="B583" s="52" t="s">
        <v>673</v>
      </c>
      <c r="C583" s="55" t="s">
        <v>530</v>
      </c>
      <c r="D583" s="55" t="s">
        <v>1291</v>
      </c>
      <c r="E583" s="55" t="s">
        <v>165</v>
      </c>
      <c r="F583" s="55" t="s">
        <v>528</v>
      </c>
      <c r="G583" s="436">
        <f>G584</f>
        <v>52.5</v>
      </c>
      <c r="H583" s="436">
        <f>H584</f>
        <v>52.5</v>
      </c>
      <c r="J583" s="436">
        <f>J584</f>
        <v>0</v>
      </c>
      <c r="K583" s="475">
        <f t="shared" si="59"/>
        <v>0</v>
      </c>
      <c r="L583" s="475">
        <f t="shared" si="60"/>
        <v>0</v>
      </c>
    </row>
    <row r="584" spans="1:12" ht="21" customHeight="1">
      <c r="A584" s="206" t="s">
        <v>710</v>
      </c>
      <c r="B584" s="52" t="s">
        <v>673</v>
      </c>
      <c r="C584" s="55" t="s">
        <v>530</v>
      </c>
      <c r="D584" s="55" t="s">
        <v>1291</v>
      </c>
      <c r="E584" s="55" t="s">
        <v>165</v>
      </c>
      <c r="F584" s="55" t="s">
        <v>1486</v>
      </c>
      <c r="G584" s="437">
        <v>52.5</v>
      </c>
      <c r="H584" s="437">
        <v>52.5</v>
      </c>
      <c r="J584" s="437">
        <v>0</v>
      </c>
      <c r="K584" s="475">
        <f t="shared" si="59"/>
        <v>0</v>
      </c>
      <c r="L584" s="475">
        <f t="shared" si="60"/>
        <v>0</v>
      </c>
    </row>
    <row r="585" spans="1:12" ht="18.75" customHeight="1">
      <c r="A585" s="206" t="s">
        <v>793</v>
      </c>
      <c r="B585" s="52" t="s">
        <v>673</v>
      </c>
      <c r="C585" s="55" t="s">
        <v>530</v>
      </c>
      <c r="D585" s="55" t="s">
        <v>1291</v>
      </c>
      <c r="E585" s="55" t="s">
        <v>165</v>
      </c>
      <c r="F585" s="55" t="s">
        <v>794</v>
      </c>
      <c r="G585" s="436">
        <f>G586</f>
        <v>78.5</v>
      </c>
      <c r="H585" s="436">
        <f>H586</f>
        <v>78.5</v>
      </c>
      <c r="J585" s="436">
        <f>J586</f>
        <v>0</v>
      </c>
      <c r="K585" s="475">
        <f t="shared" si="59"/>
        <v>0</v>
      </c>
      <c r="L585" s="475">
        <f t="shared" si="60"/>
        <v>0</v>
      </c>
    </row>
    <row r="586" spans="1:12" ht="15.75" customHeight="1">
      <c r="A586" s="57" t="s">
        <v>810</v>
      </c>
      <c r="B586" s="52" t="s">
        <v>673</v>
      </c>
      <c r="C586" s="55" t="s">
        <v>530</v>
      </c>
      <c r="D586" s="55" t="s">
        <v>1291</v>
      </c>
      <c r="E586" s="55" t="s">
        <v>165</v>
      </c>
      <c r="F586" s="55" t="s">
        <v>811</v>
      </c>
      <c r="G586" s="437">
        <v>78.5</v>
      </c>
      <c r="H586" s="437">
        <v>78.5</v>
      </c>
      <c r="J586" s="437">
        <v>0</v>
      </c>
      <c r="K586" s="475">
        <f t="shared" si="59"/>
        <v>0</v>
      </c>
      <c r="L586" s="475">
        <f t="shared" si="60"/>
        <v>0</v>
      </c>
    </row>
    <row r="587" spans="1:12" ht="32.25" customHeight="1">
      <c r="A587" s="62" t="s">
        <v>166</v>
      </c>
      <c r="B587" s="52" t="s">
        <v>673</v>
      </c>
      <c r="C587" s="55" t="s">
        <v>530</v>
      </c>
      <c r="D587" s="55" t="s">
        <v>1291</v>
      </c>
      <c r="E587" s="55" t="s">
        <v>167</v>
      </c>
      <c r="F587" s="55"/>
      <c r="G587" s="436">
        <f aca="true" t="shared" si="61" ref="G587:H589">G588</f>
        <v>13330</v>
      </c>
      <c r="H587" s="436">
        <f t="shared" si="61"/>
        <v>11970</v>
      </c>
      <c r="J587" s="436">
        <f>J588</f>
        <v>11643.7</v>
      </c>
      <c r="K587" s="475">
        <f t="shared" si="59"/>
        <v>87.34958739684922</v>
      </c>
      <c r="L587" s="475">
        <f t="shared" si="60"/>
        <v>97.27401837928154</v>
      </c>
    </row>
    <row r="588" spans="1:12" ht="32.25" customHeight="1">
      <c r="A588" s="57" t="s">
        <v>168</v>
      </c>
      <c r="B588" s="52" t="s">
        <v>673</v>
      </c>
      <c r="C588" s="55" t="s">
        <v>530</v>
      </c>
      <c r="D588" s="55" t="s">
        <v>1291</v>
      </c>
      <c r="E588" s="55" t="s">
        <v>169</v>
      </c>
      <c r="F588" s="55" t="s">
        <v>920</v>
      </c>
      <c r="G588" s="436">
        <f t="shared" si="61"/>
        <v>13330</v>
      </c>
      <c r="H588" s="436">
        <f t="shared" si="61"/>
        <v>11970</v>
      </c>
      <c r="J588" s="436">
        <f>J589</f>
        <v>11643.7</v>
      </c>
      <c r="K588" s="475">
        <f t="shared" si="59"/>
        <v>87.34958739684922</v>
      </c>
      <c r="L588" s="475">
        <f t="shared" si="60"/>
        <v>97.27401837928154</v>
      </c>
    </row>
    <row r="589" spans="1:12" ht="29.25" customHeight="1">
      <c r="A589" s="206" t="s">
        <v>68</v>
      </c>
      <c r="B589" s="52" t="s">
        <v>673</v>
      </c>
      <c r="C589" s="55" t="s">
        <v>530</v>
      </c>
      <c r="D589" s="55" t="s">
        <v>1291</v>
      </c>
      <c r="E589" s="55" t="s">
        <v>169</v>
      </c>
      <c r="F589" s="55" t="s">
        <v>528</v>
      </c>
      <c r="G589" s="436">
        <f t="shared" si="61"/>
        <v>13330</v>
      </c>
      <c r="H589" s="436">
        <f t="shared" si="61"/>
        <v>11970</v>
      </c>
      <c r="J589" s="436">
        <f>J590</f>
        <v>11643.7</v>
      </c>
      <c r="K589" s="475">
        <f t="shared" si="59"/>
        <v>87.34958739684922</v>
      </c>
      <c r="L589" s="475">
        <f t="shared" si="60"/>
        <v>97.27401837928154</v>
      </c>
    </row>
    <row r="590" spans="1:12" ht="15.75" customHeight="1">
      <c r="A590" s="206" t="s">
        <v>710</v>
      </c>
      <c r="B590" s="52" t="s">
        <v>673</v>
      </c>
      <c r="C590" s="55" t="s">
        <v>530</v>
      </c>
      <c r="D590" s="55" t="s">
        <v>1291</v>
      </c>
      <c r="E590" s="55" t="s">
        <v>169</v>
      </c>
      <c r="F590" s="55" t="s">
        <v>1486</v>
      </c>
      <c r="G590" s="437">
        <f>7030+6300</f>
        <v>13330</v>
      </c>
      <c r="H590" s="437">
        <f>7030+6300-1360</f>
        <v>11970</v>
      </c>
      <c r="J590" s="437">
        <v>11643.7</v>
      </c>
      <c r="K590" s="475">
        <f t="shared" si="59"/>
        <v>87.34958739684922</v>
      </c>
      <c r="L590" s="475">
        <f t="shared" si="60"/>
        <v>97.27401837928154</v>
      </c>
    </row>
    <row r="591" spans="1:12" ht="24">
      <c r="A591" s="206" t="s">
        <v>170</v>
      </c>
      <c r="B591" s="52" t="s">
        <v>673</v>
      </c>
      <c r="C591" s="55" t="s">
        <v>530</v>
      </c>
      <c r="D591" s="55" t="s">
        <v>1291</v>
      </c>
      <c r="E591" s="55" t="s">
        <v>171</v>
      </c>
      <c r="F591" s="55"/>
      <c r="G591" s="436">
        <f>G592+G594</f>
        <v>600</v>
      </c>
      <c r="H591" s="436">
        <f>H592+H594</f>
        <v>650</v>
      </c>
      <c r="J591" s="436">
        <f>J592+J594</f>
        <v>442.8</v>
      </c>
      <c r="K591" s="475">
        <f t="shared" si="59"/>
        <v>73.8</v>
      </c>
      <c r="L591" s="475">
        <f t="shared" si="60"/>
        <v>68.12307692307692</v>
      </c>
    </row>
    <row r="592" spans="1:12" ht="24">
      <c r="A592" s="206" t="s">
        <v>68</v>
      </c>
      <c r="B592" s="52" t="s">
        <v>673</v>
      </c>
      <c r="C592" s="55" t="s">
        <v>530</v>
      </c>
      <c r="D592" s="55" t="s">
        <v>1291</v>
      </c>
      <c r="E592" s="55" t="s">
        <v>172</v>
      </c>
      <c r="F592" s="55" t="s">
        <v>528</v>
      </c>
      <c r="G592" s="436">
        <f>G593</f>
        <v>200</v>
      </c>
      <c r="H592" s="436">
        <f>H593</f>
        <v>200</v>
      </c>
      <c r="J592" s="436">
        <f>J593</f>
        <v>38.2</v>
      </c>
      <c r="K592" s="475">
        <f t="shared" si="59"/>
        <v>19.1</v>
      </c>
      <c r="L592" s="475">
        <f t="shared" si="60"/>
        <v>19.1</v>
      </c>
    </row>
    <row r="593" spans="1:12" ht="24">
      <c r="A593" s="206" t="s">
        <v>710</v>
      </c>
      <c r="B593" s="52" t="s">
        <v>673</v>
      </c>
      <c r="C593" s="55" t="s">
        <v>530</v>
      </c>
      <c r="D593" s="55" t="s">
        <v>1291</v>
      </c>
      <c r="E593" s="55" t="s">
        <v>172</v>
      </c>
      <c r="F593" s="55" t="s">
        <v>1486</v>
      </c>
      <c r="G593" s="437">
        <v>200</v>
      </c>
      <c r="H593" s="437">
        <v>200</v>
      </c>
      <c r="J593" s="437">
        <v>38.2</v>
      </c>
      <c r="K593" s="475">
        <f t="shared" si="59"/>
        <v>19.1</v>
      </c>
      <c r="L593" s="475">
        <f t="shared" si="60"/>
        <v>19.1</v>
      </c>
    </row>
    <row r="594" spans="1:12" ht="24">
      <c r="A594" s="206" t="s">
        <v>793</v>
      </c>
      <c r="B594" s="52" t="s">
        <v>673</v>
      </c>
      <c r="C594" s="55" t="s">
        <v>530</v>
      </c>
      <c r="D594" s="55" t="s">
        <v>1291</v>
      </c>
      <c r="E594" s="55" t="s">
        <v>172</v>
      </c>
      <c r="F594" s="55" t="s">
        <v>794</v>
      </c>
      <c r="G594" s="436">
        <f>G595</f>
        <v>400</v>
      </c>
      <c r="H594" s="436">
        <f>H595</f>
        <v>450</v>
      </c>
      <c r="J594" s="436">
        <f>J595</f>
        <v>404.6</v>
      </c>
      <c r="K594" s="475">
        <f t="shared" si="59"/>
        <v>101.15</v>
      </c>
      <c r="L594" s="475">
        <f t="shared" si="60"/>
        <v>89.91111111111113</v>
      </c>
    </row>
    <row r="595" spans="1:12" ht="24">
      <c r="A595" s="57" t="s">
        <v>810</v>
      </c>
      <c r="B595" s="52" t="s">
        <v>673</v>
      </c>
      <c r="C595" s="55" t="s">
        <v>530</v>
      </c>
      <c r="D595" s="55" t="s">
        <v>1291</v>
      </c>
      <c r="E595" s="55" t="s">
        <v>172</v>
      </c>
      <c r="F595" s="55" t="s">
        <v>811</v>
      </c>
      <c r="G595" s="437">
        <f>400</f>
        <v>400</v>
      </c>
      <c r="H595" s="437">
        <f>400+50</f>
        <v>450</v>
      </c>
      <c r="J595" s="437">
        <v>404.6</v>
      </c>
      <c r="K595" s="475">
        <f t="shared" si="59"/>
        <v>101.15</v>
      </c>
      <c r="L595" s="475">
        <f t="shared" si="60"/>
        <v>89.91111111111113</v>
      </c>
    </row>
    <row r="596" spans="1:12" ht="24">
      <c r="A596" s="61" t="s">
        <v>425</v>
      </c>
      <c r="B596" s="52" t="s">
        <v>673</v>
      </c>
      <c r="C596" s="55" t="s">
        <v>530</v>
      </c>
      <c r="D596" s="55" t="s">
        <v>682</v>
      </c>
      <c r="E596" s="55"/>
      <c r="F596" s="55"/>
      <c r="G596" s="436">
        <f>G597+G601</f>
        <v>7801.5</v>
      </c>
      <c r="H596" s="436">
        <f>H597+H601</f>
        <v>9460.6</v>
      </c>
      <c r="J596" s="436">
        <f>J597+J601</f>
        <v>8494.4</v>
      </c>
      <c r="K596" s="460">
        <f aca="true" t="shared" si="62" ref="K596:K613">J596/G596*100</f>
        <v>108.88162532846246</v>
      </c>
      <c r="L596" s="460">
        <f aca="true" t="shared" si="63" ref="L596:L613">J596/H596*100</f>
        <v>89.78711709616725</v>
      </c>
    </row>
    <row r="597" spans="1:12" ht="24">
      <c r="A597" s="56" t="s">
        <v>160</v>
      </c>
      <c r="B597" s="52" t="s">
        <v>673</v>
      </c>
      <c r="C597" s="55" t="s">
        <v>530</v>
      </c>
      <c r="D597" s="55" t="s">
        <v>682</v>
      </c>
      <c r="E597" s="55" t="s">
        <v>161</v>
      </c>
      <c r="F597" s="55"/>
      <c r="G597" s="436">
        <f aca="true" t="shared" si="64" ref="G597:H599">G598</f>
        <v>2084</v>
      </c>
      <c r="H597" s="436">
        <f t="shared" si="64"/>
        <v>1884</v>
      </c>
      <c r="J597" s="436">
        <f>J598</f>
        <v>1602.7</v>
      </c>
      <c r="K597" s="460">
        <f t="shared" si="62"/>
        <v>76.90499040307101</v>
      </c>
      <c r="L597" s="460">
        <f t="shared" si="63"/>
        <v>85.06900212314225</v>
      </c>
    </row>
    <row r="598" spans="1:12" ht="24">
      <c r="A598" s="62" t="s">
        <v>1025</v>
      </c>
      <c r="B598" s="52" t="s">
        <v>673</v>
      </c>
      <c r="C598" s="55" t="s">
        <v>530</v>
      </c>
      <c r="D598" s="55" t="s">
        <v>682</v>
      </c>
      <c r="E598" s="55" t="s">
        <v>1026</v>
      </c>
      <c r="F598" s="55"/>
      <c r="G598" s="436">
        <f t="shared" si="64"/>
        <v>2084</v>
      </c>
      <c r="H598" s="436">
        <f t="shared" si="64"/>
        <v>1884</v>
      </c>
      <c r="J598" s="436">
        <f>J599</f>
        <v>1602.7</v>
      </c>
      <c r="K598" s="475">
        <f t="shared" si="62"/>
        <v>76.90499040307101</v>
      </c>
      <c r="L598" s="475">
        <f t="shared" si="63"/>
        <v>85.06900212314225</v>
      </c>
    </row>
    <row r="599" spans="1:12" ht="24">
      <c r="A599" s="206" t="s">
        <v>68</v>
      </c>
      <c r="B599" s="52" t="s">
        <v>673</v>
      </c>
      <c r="C599" s="55" t="s">
        <v>530</v>
      </c>
      <c r="D599" s="55" t="s">
        <v>682</v>
      </c>
      <c r="E599" s="55" t="s">
        <v>1027</v>
      </c>
      <c r="F599" s="55" t="s">
        <v>528</v>
      </c>
      <c r="G599" s="436">
        <f t="shared" si="64"/>
        <v>2084</v>
      </c>
      <c r="H599" s="436">
        <f t="shared" si="64"/>
        <v>1884</v>
      </c>
      <c r="J599" s="436">
        <f>J600</f>
        <v>1602.7</v>
      </c>
      <c r="K599" s="475">
        <f t="shared" si="62"/>
        <v>76.90499040307101</v>
      </c>
      <c r="L599" s="475">
        <f t="shared" si="63"/>
        <v>85.06900212314225</v>
      </c>
    </row>
    <row r="600" spans="1:12" ht="24">
      <c r="A600" s="206" t="s">
        <v>710</v>
      </c>
      <c r="B600" s="52" t="s">
        <v>673</v>
      </c>
      <c r="C600" s="55" t="s">
        <v>530</v>
      </c>
      <c r="D600" s="55" t="s">
        <v>682</v>
      </c>
      <c r="E600" s="55" t="s">
        <v>1027</v>
      </c>
      <c r="F600" s="55" t="s">
        <v>1486</v>
      </c>
      <c r="G600" s="437">
        <f>2084</f>
        <v>2084</v>
      </c>
      <c r="H600" s="437">
        <f>2084-200</f>
        <v>1884</v>
      </c>
      <c r="J600" s="437">
        <v>1602.7</v>
      </c>
      <c r="K600" s="475">
        <f t="shared" si="62"/>
        <v>76.90499040307101</v>
      </c>
      <c r="L600" s="475">
        <f t="shared" si="63"/>
        <v>85.06900212314225</v>
      </c>
    </row>
    <row r="601" spans="1:12" ht="36">
      <c r="A601" s="64" t="s">
        <v>1028</v>
      </c>
      <c r="B601" s="52" t="s">
        <v>673</v>
      </c>
      <c r="C601" s="55" t="s">
        <v>530</v>
      </c>
      <c r="D601" s="55" t="s">
        <v>682</v>
      </c>
      <c r="E601" s="55" t="s">
        <v>1029</v>
      </c>
      <c r="F601" s="55" t="s">
        <v>920</v>
      </c>
      <c r="G601" s="436">
        <f>G602+G604</f>
        <v>5717.5</v>
      </c>
      <c r="H601" s="436">
        <f>H602+H604</f>
        <v>7576.6</v>
      </c>
      <c r="J601" s="436">
        <f>J602+J604</f>
        <v>6891.7</v>
      </c>
      <c r="K601" s="475">
        <f t="shared" si="62"/>
        <v>120.53694796676868</v>
      </c>
      <c r="L601" s="475">
        <f t="shared" si="63"/>
        <v>90.96032521183643</v>
      </c>
    </row>
    <row r="602" spans="1:12" ht="24">
      <c r="A602" s="206" t="s">
        <v>68</v>
      </c>
      <c r="B602" s="52" t="s">
        <v>673</v>
      </c>
      <c r="C602" s="55" t="s">
        <v>530</v>
      </c>
      <c r="D602" s="55" t="s">
        <v>682</v>
      </c>
      <c r="E602" s="55" t="s">
        <v>1030</v>
      </c>
      <c r="F602" s="55" t="s">
        <v>528</v>
      </c>
      <c r="G602" s="436">
        <f>G603</f>
        <v>4517.5</v>
      </c>
      <c r="H602" s="436">
        <f>H603</f>
        <v>6376.6</v>
      </c>
      <c r="J602" s="436">
        <f>J603</f>
        <v>6123.5</v>
      </c>
      <c r="K602" s="475">
        <f t="shared" si="62"/>
        <v>135.55063641394577</v>
      </c>
      <c r="L602" s="475">
        <f t="shared" si="63"/>
        <v>96.03080011291283</v>
      </c>
    </row>
    <row r="603" spans="1:12" ht="24">
      <c r="A603" s="206" t="s">
        <v>710</v>
      </c>
      <c r="B603" s="52" t="s">
        <v>673</v>
      </c>
      <c r="C603" s="55" t="s">
        <v>530</v>
      </c>
      <c r="D603" s="55" t="s">
        <v>682</v>
      </c>
      <c r="E603" s="55" t="s">
        <v>1030</v>
      </c>
      <c r="F603" s="55" t="s">
        <v>1486</v>
      </c>
      <c r="G603" s="437">
        <f>4517.5</f>
        <v>4517.5</v>
      </c>
      <c r="H603" s="437">
        <f>4517.5+1121.5+1537.6-800</f>
        <v>6376.6</v>
      </c>
      <c r="J603" s="437">
        <v>6123.5</v>
      </c>
      <c r="K603" s="475">
        <f t="shared" si="62"/>
        <v>135.55063641394577</v>
      </c>
      <c r="L603" s="475">
        <f t="shared" si="63"/>
        <v>96.03080011291283</v>
      </c>
    </row>
    <row r="604" spans="1:12" ht="24">
      <c r="A604" s="206" t="s">
        <v>793</v>
      </c>
      <c r="B604" s="52" t="s">
        <v>673</v>
      </c>
      <c r="C604" s="55" t="s">
        <v>530</v>
      </c>
      <c r="D604" s="55" t="s">
        <v>682</v>
      </c>
      <c r="E604" s="55" t="s">
        <v>1030</v>
      </c>
      <c r="F604" s="55" t="s">
        <v>794</v>
      </c>
      <c r="G604" s="436">
        <f>G605</f>
        <v>1200</v>
      </c>
      <c r="H604" s="436">
        <f>H605</f>
        <v>1200</v>
      </c>
      <c r="J604" s="436">
        <f>J605</f>
        <v>768.2</v>
      </c>
      <c r="K604" s="475">
        <f t="shared" si="62"/>
        <v>64.01666666666667</v>
      </c>
      <c r="L604" s="475">
        <f t="shared" si="63"/>
        <v>64.01666666666667</v>
      </c>
    </row>
    <row r="605" spans="1:12" ht="24">
      <c r="A605" s="57" t="s">
        <v>810</v>
      </c>
      <c r="B605" s="52" t="s">
        <v>673</v>
      </c>
      <c r="C605" s="55" t="s">
        <v>530</v>
      </c>
      <c r="D605" s="55" t="s">
        <v>682</v>
      </c>
      <c r="E605" s="55" t="s">
        <v>1030</v>
      </c>
      <c r="F605" s="55" t="s">
        <v>811</v>
      </c>
      <c r="G605" s="437">
        <v>1200</v>
      </c>
      <c r="H605" s="437">
        <v>1200</v>
      </c>
      <c r="J605" s="437">
        <v>768.2</v>
      </c>
      <c r="K605" s="475">
        <f t="shared" si="62"/>
        <v>64.01666666666667</v>
      </c>
      <c r="L605" s="475">
        <f t="shared" si="63"/>
        <v>64.01666666666667</v>
      </c>
    </row>
    <row r="606" spans="1:12" ht="15.75">
      <c r="A606" s="58" t="s">
        <v>676</v>
      </c>
      <c r="B606" s="52" t="s">
        <v>673</v>
      </c>
      <c r="C606" s="123" t="s">
        <v>1151</v>
      </c>
      <c r="D606" s="123"/>
      <c r="E606" s="68"/>
      <c r="F606" s="68"/>
      <c r="G606" s="435">
        <f>G607+G614++G629+G643+G658</f>
        <v>319366.5</v>
      </c>
      <c r="H606" s="435">
        <f>H607+H614++H629+H643+H658</f>
        <v>384105</v>
      </c>
      <c r="J606" s="435">
        <f>J607+J614++J629+J643+J658</f>
        <v>376173.6</v>
      </c>
      <c r="K606" s="460">
        <f t="shared" si="62"/>
        <v>117.78743230739603</v>
      </c>
      <c r="L606" s="460">
        <f t="shared" si="63"/>
        <v>97.93509587222243</v>
      </c>
    </row>
    <row r="607" spans="1:12" ht="15.75">
      <c r="A607" s="71" t="s">
        <v>1184</v>
      </c>
      <c r="B607" s="52" t="s">
        <v>673</v>
      </c>
      <c r="C607" s="123" t="s">
        <v>1151</v>
      </c>
      <c r="D607" s="123" t="s">
        <v>418</v>
      </c>
      <c r="E607" s="68"/>
      <c r="F607" s="68"/>
      <c r="G607" s="436">
        <f>G610</f>
        <v>1000</v>
      </c>
      <c r="H607" s="436">
        <f>H610</f>
        <v>2500</v>
      </c>
      <c r="J607" s="436">
        <f>J610</f>
        <v>2500</v>
      </c>
      <c r="K607" s="460">
        <f t="shared" si="62"/>
        <v>250</v>
      </c>
      <c r="L607" s="460">
        <f t="shared" si="63"/>
        <v>100</v>
      </c>
    </row>
    <row r="608" spans="1:12" ht="24">
      <c r="A608" s="56" t="s">
        <v>957</v>
      </c>
      <c r="B608" s="52" t="s">
        <v>673</v>
      </c>
      <c r="C608" s="123" t="s">
        <v>1151</v>
      </c>
      <c r="D608" s="123" t="s">
        <v>418</v>
      </c>
      <c r="E608" s="68" t="s">
        <v>1032</v>
      </c>
      <c r="F608" s="68"/>
      <c r="G608" s="436">
        <f aca="true" t="shared" si="65" ref="G608:H612">G609</f>
        <v>1000</v>
      </c>
      <c r="H608" s="436">
        <f t="shared" si="65"/>
        <v>2500</v>
      </c>
      <c r="J608" s="436">
        <f>J609</f>
        <v>2500</v>
      </c>
      <c r="K608" s="475">
        <f t="shared" si="62"/>
        <v>250</v>
      </c>
      <c r="L608" s="475">
        <f t="shared" si="63"/>
        <v>100</v>
      </c>
    </row>
    <row r="609" spans="1:12" ht="24">
      <c r="A609" s="62" t="s">
        <v>1033</v>
      </c>
      <c r="B609" s="52" t="s">
        <v>673</v>
      </c>
      <c r="C609" s="123" t="s">
        <v>1151</v>
      </c>
      <c r="D609" s="123" t="s">
        <v>418</v>
      </c>
      <c r="E609" s="68" t="s">
        <v>1034</v>
      </c>
      <c r="F609" s="68"/>
      <c r="G609" s="436">
        <f t="shared" si="65"/>
        <v>1000</v>
      </c>
      <c r="H609" s="436">
        <f t="shared" si="65"/>
        <v>2500</v>
      </c>
      <c r="J609" s="436">
        <f>J610</f>
        <v>2500</v>
      </c>
      <c r="K609" s="475">
        <f t="shared" si="62"/>
        <v>250</v>
      </c>
      <c r="L609" s="475">
        <f t="shared" si="63"/>
        <v>100</v>
      </c>
    </row>
    <row r="610" spans="1:12" ht="24">
      <c r="A610" s="62" t="s">
        <v>632</v>
      </c>
      <c r="B610" s="52" t="s">
        <v>673</v>
      </c>
      <c r="C610" s="123" t="s">
        <v>1151</v>
      </c>
      <c r="D610" s="123" t="s">
        <v>418</v>
      </c>
      <c r="E610" s="68" t="s">
        <v>1035</v>
      </c>
      <c r="F610" s="68" t="s">
        <v>920</v>
      </c>
      <c r="G610" s="436">
        <f t="shared" si="65"/>
        <v>1000</v>
      </c>
      <c r="H610" s="436">
        <f t="shared" si="65"/>
        <v>2500</v>
      </c>
      <c r="J610" s="436">
        <f>J611</f>
        <v>2500</v>
      </c>
      <c r="K610" s="475">
        <f t="shared" si="62"/>
        <v>250</v>
      </c>
      <c r="L610" s="475">
        <f t="shared" si="63"/>
        <v>100</v>
      </c>
    </row>
    <row r="611" spans="1:12" ht="23.25" customHeight="1">
      <c r="A611" s="62" t="s">
        <v>633</v>
      </c>
      <c r="B611" s="52" t="s">
        <v>673</v>
      </c>
      <c r="C611" s="123" t="s">
        <v>1151</v>
      </c>
      <c r="D611" s="123" t="s">
        <v>418</v>
      </c>
      <c r="E611" s="55" t="s">
        <v>1035</v>
      </c>
      <c r="F611" s="55" t="s">
        <v>920</v>
      </c>
      <c r="G611" s="445">
        <f t="shared" si="65"/>
        <v>1000</v>
      </c>
      <c r="H611" s="445">
        <f t="shared" si="65"/>
        <v>2500</v>
      </c>
      <c r="J611" s="445">
        <f>J612</f>
        <v>2500</v>
      </c>
      <c r="K611" s="475">
        <f t="shared" si="62"/>
        <v>250</v>
      </c>
      <c r="L611" s="475">
        <f t="shared" si="63"/>
        <v>100</v>
      </c>
    </row>
    <row r="612" spans="1:12" ht="23.25" customHeight="1">
      <c r="A612" s="62" t="s">
        <v>139</v>
      </c>
      <c r="B612" s="52" t="s">
        <v>673</v>
      </c>
      <c r="C612" s="123" t="s">
        <v>1151</v>
      </c>
      <c r="D612" s="123" t="s">
        <v>418</v>
      </c>
      <c r="E612" s="55" t="s">
        <v>1035</v>
      </c>
      <c r="F612" s="55" t="s">
        <v>1454</v>
      </c>
      <c r="G612" s="445">
        <f t="shared" si="65"/>
        <v>1000</v>
      </c>
      <c r="H612" s="445">
        <f t="shared" si="65"/>
        <v>2500</v>
      </c>
      <c r="J612" s="445">
        <f>J613</f>
        <v>2500</v>
      </c>
      <c r="K612" s="475">
        <f t="shared" si="62"/>
        <v>250</v>
      </c>
      <c r="L612" s="475">
        <f t="shared" si="63"/>
        <v>100</v>
      </c>
    </row>
    <row r="613" spans="1:12" ht="17.25" customHeight="1">
      <c r="A613" s="57" t="s">
        <v>553</v>
      </c>
      <c r="B613" s="52" t="s">
        <v>673</v>
      </c>
      <c r="C613" s="123" t="s">
        <v>1151</v>
      </c>
      <c r="D613" s="123" t="s">
        <v>418</v>
      </c>
      <c r="E613" s="55" t="s">
        <v>1035</v>
      </c>
      <c r="F613" s="55" t="s">
        <v>554</v>
      </c>
      <c r="G613" s="446">
        <v>1000</v>
      </c>
      <c r="H613" s="446">
        <f>1000+1500</f>
        <v>2500</v>
      </c>
      <c r="J613" s="446">
        <f>1000+1500</f>
        <v>2500</v>
      </c>
      <c r="K613" s="475">
        <f t="shared" si="62"/>
        <v>250</v>
      </c>
      <c r="L613" s="475">
        <f t="shared" si="63"/>
        <v>100</v>
      </c>
    </row>
    <row r="614" spans="1:12" ht="15.75">
      <c r="A614" s="61" t="s">
        <v>1185</v>
      </c>
      <c r="B614" s="52" t="s">
        <v>673</v>
      </c>
      <c r="C614" s="55" t="s">
        <v>1151</v>
      </c>
      <c r="D614" s="55" t="s">
        <v>419</v>
      </c>
      <c r="E614" s="55"/>
      <c r="F614" s="55"/>
      <c r="G614" s="436">
        <f>G617</f>
        <v>100845.9</v>
      </c>
      <c r="H614" s="436">
        <f>H617</f>
        <v>101443.9</v>
      </c>
      <c r="J614" s="436">
        <f>J617</f>
        <v>101340.8</v>
      </c>
      <c r="K614" s="460">
        <f aca="true" t="shared" si="66" ref="K614:K619">J614/G614*100</f>
        <v>100.4907487562707</v>
      </c>
      <c r="L614" s="460">
        <f aca="true" t="shared" si="67" ref="L614:L619">J614/H614*100</f>
        <v>99.89836747207079</v>
      </c>
    </row>
    <row r="615" spans="1:12" ht="24">
      <c r="A615" s="56" t="s">
        <v>1036</v>
      </c>
      <c r="B615" s="52" t="s">
        <v>673</v>
      </c>
      <c r="C615" s="55" t="s">
        <v>1151</v>
      </c>
      <c r="D615" s="55" t="s">
        <v>419</v>
      </c>
      <c r="E615" s="55" t="s">
        <v>1037</v>
      </c>
      <c r="F615" s="55"/>
      <c r="G615" s="436">
        <f>G616</f>
        <v>100845.9</v>
      </c>
      <c r="H615" s="436">
        <f>H616</f>
        <v>101443.9</v>
      </c>
      <c r="J615" s="436">
        <f>J616</f>
        <v>101340.8</v>
      </c>
      <c r="K615" s="460">
        <f t="shared" si="66"/>
        <v>100.4907487562707</v>
      </c>
      <c r="L615" s="460">
        <f t="shared" si="67"/>
        <v>99.89836747207079</v>
      </c>
    </row>
    <row r="616" spans="1:12" ht="36">
      <c r="A616" s="62" t="s">
        <v>1038</v>
      </c>
      <c r="B616" s="52" t="s">
        <v>673</v>
      </c>
      <c r="C616" s="55" t="s">
        <v>1151</v>
      </c>
      <c r="D616" s="55" t="s">
        <v>419</v>
      </c>
      <c r="E616" s="55" t="s">
        <v>1039</v>
      </c>
      <c r="F616" s="55"/>
      <c r="G616" s="436">
        <f>G617</f>
        <v>100845.9</v>
      </c>
      <c r="H616" s="436">
        <f>H617</f>
        <v>101443.9</v>
      </c>
      <c r="J616" s="436">
        <f>J617</f>
        <v>101340.8</v>
      </c>
      <c r="K616" s="475">
        <f t="shared" si="66"/>
        <v>100.4907487562707</v>
      </c>
      <c r="L616" s="475">
        <f t="shared" si="67"/>
        <v>99.89836747207079</v>
      </c>
    </row>
    <row r="617" spans="1:12" ht="17.25" customHeight="1">
      <c r="A617" s="56" t="s">
        <v>635</v>
      </c>
      <c r="B617" s="52" t="s">
        <v>673</v>
      </c>
      <c r="C617" s="55" t="s">
        <v>1151</v>
      </c>
      <c r="D617" s="55" t="s">
        <v>419</v>
      </c>
      <c r="E617" s="55" t="s">
        <v>1039</v>
      </c>
      <c r="F617" s="55"/>
      <c r="G617" s="436">
        <f>G618+G620+G623+G626</f>
        <v>100845.9</v>
      </c>
      <c r="H617" s="436">
        <f>H618+H620+H623+H626</f>
        <v>101443.9</v>
      </c>
      <c r="J617" s="436">
        <f>J618+J620+J623+J626</f>
        <v>101340.8</v>
      </c>
      <c r="K617" s="475">
        <f t="shared" si="66"/>
        <v>100.4907487562707</v>
      </c>
      <c r="L617" s="475">
        <f t="shared" si="67"/>
        <v>99.89836747207079</v>
      </c>
    </row>
    <row r="618" spans="1:12" ht="24.75" customHeight="1">
      <c r="A618" s="206" t="s">
        <v>68</v>
      </c>
      <c r="B618" s="52" t="s">
        <v>673</v>
      </c>
      <c r="C618" s="55" t="s">
        <v>1151</v>
      </c>
      <c r="D618" s="55" t="s">
        <v>419</v>
      </c>
      <c r="E618" s="55" t="s">
        <v>1040</v>
      </c>
      <c r="F618" s="55" t="s">
        <v>528</v>
      </c>
      <c r="G618" s="436">
        <f>G619</f>
        <v>100355.9</v>
      </c>
      <c r="H618" s="436">
        <f>H619</f>
        <v>100355.9</v>
      </c>
      <c r="J618" s="436">
        <f>J619</f>
        <v>100252.8</v>
      </c>
      <c r="K618" s="475">
        <f t="shared" si="66"/>
        <v>99.89726563161709</v>
      </c>
      <c r="L618" s="475">
        <f t="shared" si="67"/>
        <v>99.89726563161709</v>
      </c>
    </row>
    <row r="619" spans="1:12" ht="21" customHeight="1">
      <c r="A619" s="206" t="s">
        <v>710</v>
      </c>
      <c r="B619" s="52" t="s">
        <v>673</v>
      </c>
      <c r="C619" s="55" t="s">
        <v>1151</v>
      </c>
      <c r="D619" s="55" t="s">
        <v>419</v>
      </c>
      <c r="E619" s="55" t="s">
        <v>1040</v>
      </c>
      <c r="F619" s="55" t="s">
        <v>1486</v>
      </c>
      <c r="G619" s="437">
        <v>100355.9</v>
      </c>
      <c r="H619" s="437">
        <v>100355.9</v>
      </c>
      <c r="J619" s="437">
        <v>100252.8</v>
      </c>
      <c r="K619" s="475">
        <f t="shared" si="66"/>
        <v>99.89726563161709</v>
      </c>
      <c r="L619" s="475">
        <f t="shared" si="67"/>
        <v>99.89726563161709</v>
      </c>
    </row>
    <row r="620" spans="1:12" ht="19.5" customHeight="1">
      <c r="A620" s="62" t="s">
        <v>636</v>
      </c>
      <c r="B620" s="52" t="s">
        <v>673</v>
      </c>
      <c r="C620" s="55" t="s">
        <v>1151</v>
      </c>
      <c r="D620" s="55" t="s">
        <v>419</v>
      </c>
      <c r="E620" s="55" t="s">
        <v>1041</v>
      </c>
      <c r="F620" s="55" t="s">
        <v>920</v>
      </c>
      <c r="G620" s="436">
        <f>G621</f>
        <v>0</v>
      </c>
      <c r="H620" s="436">
        <f>H621</f>
        <v>598</v>
      </c>
      <c r="J620" s="436">
        <f>J621</f>
        <v>598</v>
      </c>
      <c r="K620" s="475">
        <v>0</v>
      </c>
      <c r="L620" s="475">
        <f aca="true" t="shared" si="68" ref="L620:L625">J620/H620*100</f>
        <v>100</v>
      </c>
    </row>
    <row r="621" spans="1:12" ht="19.5" customHeight="1">
      <c r="A621" s="206" t="s">
        <v>793</v>
      </c>
      <c r="B621" s="52" t="s">
        <v>673</v>
      </c>
      <c r="C621" s="55" t="s">
        <v>1151</v>
      </c>
      <c r="D621" s="55" t="s">
        <v>419</v>
      </c>
      <c r="E621" s="55" t="s">
        <v>1041</v>
      </c>
      <c r="F621" s="55" t="s">
        <v>794</v>
      </c>
      <c r="G621" s="436">
        <f>G622</f>
        <v>0</v>
      </c>
      <c r="H621" s="436">
        <f>H622</f>
        <v>598</v>
      </c>
      <c r="J621" s="436">
        <f>J622</f>
        <v>598</v>
      </c>
      <c r="K621" s="475">
        <v>0</v>
      </c>
      <c r="L621" s="475">
        <f t="shared" si="68"/>
        <v>100</v>
      </c>
    </row>
    <row r="622" spans="1:12" ht="42" customHeight="1">
      <c r="A622" s="57" t="s">
        <v>1042</v>
      </c>
      <c r="B622" s="52" t="s">
        <v>673</v>
      </c>
      <c r="C622" s="55" t="s">
        <v>1151</v>
      </c>
      <c r="D622" s="55" t="s">
        <v>419</v>
      </c>
      <c r="E622" s="55" t="s">
        <v>1041</v>
      </c>
      <c r="F622" s="55" t="s">
        <v>809</v>
      </c>
      <c r="G622" s="437">
        <v>0</v>
      </c>
      <c r="H622" s="437">
        <v>598</v>
      </c>
      <c r="J622" s="437">
        <v>598</v>
      </c>
      <c r="K622" s="475">
        <v>0</v>
      </c>
      <c r="L622" s="475">
        <f t="shared" si="68"/>
        <v>100</v>
      </c>
    </row>
    <row r="623" spans="1:12" ht="52.5" customHeight="1">
      <c r="A623" s="57" t="s">
        <v>1043</v>
      </c>
      <c r="B623" s="52" t="s">
        <v>673</v>
      </c>
      <c r="C623" s="55" t="s">
        <v>1151</v>
      </c>
      <c r="D623" s="55" t="s">
        <v>419</v>
      </c>
      <c r="E623" s="55" t="s">
        <v>1044</v>
      </c>
      <c r="F623" s="55" t="s">
        <v>920</v>
      </c>
      <c r="G623" s="436">
        <f>G624</f>
        <v>125</v>
      </c>
      <c r="H623" s="436">
        <f>H624</f>
        <v>125</v>
      </c>
      <c r="J623" s="436">
        <f>J624</f>
        <v>125</v>
      </c>
      <c r="K623" s="475">
        <f aca="true" t="shared" si="69" ref="K623:K628">J623/G623*100</f>
        <v>100</v>
      </c>
      <c r="L623" s="475">
        <f t="shared" si="68"/>
        <v>100</v>
      </c>
    </row>
    <row r="624" spans="1:12" ht="24" customHeight="1">
      <c r="A624" s="206" t="s">
        <v>68</v>
      </c>
      <c r="B624" s="52" t="s">
        <v>673</v>
      </c>
      <c r="C624" s="55" t="s">
        <v>1151</v>
      </c>
      <c r="D624" s="55" t="s">
        <v>419</v>
      </c>
      <c r="E624" s="55" t="s">
        <v>1044</v>
      </c>
      <c r="F624" s="55" t="s">
        <v>528</v>
      </c>
      <c r="G624" s="436">
        <f>G625</f>
        <v>125</v>
      </c>
      <c r="H624" s="436">
        <f>H625</f>
        <v>125</v>
      </c>
      <c r="J624" s="436">
        <f>J625</f>
        <v>125</v>
      </c>
      <c r="K624" s="475">
        <f t="shared" si="69"/>
        <v>100</v>
      </c>
      <c r="L624" s="475">
        <f t="shared" si="68"/>
        <v>100</v>
      </c>
    </row>
    <row r="625" spans="1:12" ht="15.75" customHeight="1">
      <c r="A625" s="206" t="s">
        <v>710</v>
      </c>
      <c r="B625" s="52" t="s">
        <v>673</v>
      </c>
      <c r="C625" s="55" t="s">
        <v>1151</v>
      </c>
      <c r="D625" s="55" t="s">
        <v>419</v>
      </c>
      <c r="E625" s="55" t="s">
        <v>1044</v>
      </c>
      <c r="F625" s="55" t="s">
        <v>1486</v>
      </c>
      <c r="G625" s="437">
        <f>365-240</f>
        <v>125</v>
      </c>
      <c r="H625" s="437">
        <f>365-240</f>
        <v>125</v>
      </c>
      <c r="J625" s="437">
        <f>365-240</f>
        <v>125</v>
      </c>
      <c r="K625" s="475">
        <f t="shared" si="69"/>
        <v>100</v>
      </c>
      <c r="L625" s="475">
        <f t="shared" si="68"/>
        <v>100</v>
      </c>
    </row>
    <row r="626" spans="1:12" ht="62.25" customHeight="1">
      <c r="A626" s="57" t="s">
        <v>958</v>
      </c>
      <c r="B626" s="52" t="s">
        <v>673</v>
      </c>
      <c r="C626" s="55" t="s">
        <v>1151</v>
      </c>
      <c r="D626" s="55" t="s">
        <v>419</v>
      </c>
      <c r="E626" s="55" t="s">
        <v>1046</v>
      </c>
      <c r="F626" s="55" t="s">
        <v>920</v>
      </c>
      <c r="G626" s="436">
        <f>G627</f>
        <v>365</v>
      </c>
      <c r="H626" s="436">
        <f>H627</f>
        <v>365</v>
      </c>
      <c r="J626" s="436">
        <f>J627</f>
        <v>365</v>
      </c>
      <c r="K626" s="475">
        <f t="shared" si="69"/>
        <v>100</v>
      </c>
      <c r="L626" s="475">
        <f>J626/H626*100</f>
        <v>100</v>
      </c>
    </row>
    <row r="627" spans="1:12" ht="23.25" customHeight="1">
      <c r="A627" s="206" t="s">
        <v>68</v>
      </c>
      <c r="B627" s="52" t="s">
        <v>673</v>
      </c>
      <c r="C627" s="55" t="s">
        <v>1151</v>
      </c>
      <c r="D627" s="55" t="s">
        <v>419</v>
      </c>
      <c r="E627" s="55" t="s">
        <v>1046</v>
      </c>
      <c r="F627" s="55" t="s">
        <v>528</v>
      </c>
      <c r="G627" s="436">
        <f>G628</f>
        <v>365</v>
      </c>
      <c r="H627" s="436">
        <f>H628</f>
        <v>365</v>
      </c>
      <c r="J627" s="436">
        <f>J628</f>
        <v>365</v>
      </c>
      <c r="K627" s="475">
        <f t="shared" si="69"/>
        <v>100</v>
      </c>
      <c r="L627" s="475">
        <f>J627/H627*100</f>
        <v>100</v>
      </c>
    </row>
    <row r="628" spans="1:12" ht="18.75" customHeight="1">
      <c r="A628" s="206" t="s">
        <v>710</v>
      </c>
      <c r="B628" s="52" t="s">
        <v>673</v>
      </c>
      <c r="C628" s="55" t="s">
        <v>1151</v>
      </c>
      <c r="D628" s="55" t="s">
        <v>419</v>
      </c>
      <c r="E628" s="55" t="s">
        <v>1046</v>
      </c>
      <c r="F628" s="55" t="s">
        <v>1486</v>
      </c>
      <c r="G628" s="437">
        <v>365</v>
      </c>
      <c r="H628" s="437">
        <v>365</v>
      </c>
      <c r="J628" s="437">
        <v>365</v>
      </c>
      <c r="K628" s="475">
        <f t="shared" si="69"/>
        <v>100</v>
      </c>
      <c r="L628" s="475">
        <f>J628/H628*100</f>
        <v>100</v>
      </c>
    </row>
    <row r="629" spans="1:12" ht="15.75">
      <c r="A629" s="75" t="s">
        <v>1186</v>
      </c>
      <c r="B629" s="52" t="s">
        <v>673</v>
      </c>
      <c r="C629" s="55" t="s">
        <v>1151</v>
      </c>
      <c r="D629" s="55" t="s">
        <v>1291</v>
      </c>
      <c r="E629" s="55"/>
      <c r="F629" s="55"/>
      <c r="G629" s="436">
        <f>G630+G640</f>
        <v>200000</v>
      </c>
      <c r="H629" s="436">
        <f>H630+H640</f>
        <v>250094.00000000003</v>
      </c>
      <c r="J629" s="436">
        <f>J630+J640</f>
        <v>243119.69999999998</v>
      </c>
      <c r="K629" s="460">
        <f aca="true" t="shared" si="70" ref="K629:K635">J629/G629*100</f>
        <v>121.55984999999998</v>
      </c>
      <c r="L629" s="460">
        <f aca="true" t="shared" si="71" ref="L629:L657">J629/H629*100</f>
        <v>97.21132854046877</v>
      </c>
    </row>
    <row r="630" spans="1:12" ht="27.75" customHeight="1">
      <c r="A630" s="56" t="s">
        <v>1036</v>
      </c>
      <c r="B630" s="52" t="s">
        <v>673</v>
      </c>
      <c r="C630" s="55" t="s">
        <v>1151</v>
      </c>
      <c r="D630" s="55" t="s">
        <v>1291</v>
      </c>
      <c r="E630" s="55" t="s">
        <v>1037</v>
      </c>
      <c r="F630" s="55"/>
      <c r="G630" s="436">
        <f>G631+G637</f>
        <v>200000</v>
      </c>
      <c r="H630" s="436">
        <f>H631+H637</f>
        <v>247788.00000000003</v>
      </c>
      <c r="J630" s="436">
        <f>J631+J637</f>
        <v>243119.69999999998</v>
      </c>
      <c r="K630" s="460">
        <f t="shared" si="70"/>
        <v>121.55984999999998</v>
      </c>
      <c r="L630" s="460">
        <f t="shared" si="71"/>
        <v>98.11601046055497</v>
      </c>
    </row>
    <row r="631" spans="1:12" ht="33.75" customHeight="1">
      <c r="A631" s="62" t="s">
        <v>1047</v>
      </c>
      <c r="B631" s="52" t="s">
        <v>673</v>
      </c>
      <c r="C631" s="55" t="s">
        <v>1151</v>
      </c>
      <c r="D631" s="55" t="s">
        <v>1291</v>
      </c>
      <c r="E631" s="55" t="s">
        <v>1048</v>
      </c>
      <c r="F631" s="55" t="s">
        <v>920</v>
      </c>
      <c r="G631" s="436">
        <f>G632+G634</f>
        <v>179500</v>
      </c>
      <c r="H631" s="436">
        <f>H632+H634</f>
        <v>223607.10000000003</v>
      </c>
      <c r="J631" s="436">
        <f>J632+J634</f>
        <v>219027.9</v>
      </c>
      <c r="K631" s="475">
        <f t="shared" si="70"/>
        <v>122.02111420612813</v>
      </c>
      <c r="L631" s="475">
        <f t="shared" si="71"/>
        <v>97.95212227160943</v>
      </c>
    </row>
    <row r="632" spans="1:12" ht="28.5" customHeight="1">
      <c r="A632" s="206" t="s">
        <v>68</v>
      </c>
      <c r="B632" s="52" t="s">
        <v>673</v>
      </c>
      <c r="C632" s="55" t="s">
        <v>1151</v>
      </c>
      <c r="D632" s="55" t="s">
        <v>1291</v>
      </c>
      <c r="E632" s="55" t="s">
        <v>1049</v>
      </c>
      <c r="F632" s="55" t="s">
        <v>528</v>
      </c>
      <c r="G632" s="436">
        <f>G633</f>
        <v>69500</v>
      </c>
      <c r="H632" s="436">
        <f>H633</f>
        <v>113133.40000000002</v>
      </c>
      <c r="J632" s="436">
        <f>J633</f>
        <v>108554.2</v>
      </c>
      <c r="K632" s="475">
        <f t="shared" si="70"/>
        <v>156.19309352517985</v>
      </c>
      <c r="L632" s="475">
        <f t="shared" si="71"/>
        <v>95.95238894968239</v>
      </c>
    </row>
    <row r="633" spans="1:12" ht="21" customHeight="1">
      <c r="A633" s="206" t="s">
        <v>710</v>
      </c>
      <c r="B633" s="52" t="s">
        <v>673</v>
      </c>
      <c r="C633" s="55" t="s">
        <v>1151</v>
      </c>
      <c r="D633" s="55" t="s">
        <v>1291</v>
      </c>
      <c r="E633" s="55" t="s">
        <v>1049</v>
      </c>
      <c r="F633" s="55" t="s">
        <v>1486</v>
      </c>
      <c r="G633" s="437">
        <v>69500</v>
      </c>
      <c r="H633" s="437">
        <f>69500+7205.6+89.5+17420+20188.8+187.5-20188.8+0.1+128.4+959.8+3566.6+1426.3+9969.6-820+3500</f>
        <v>113133.40000000002</v>
      </c>
      <c r="J633" s="437">
        <v>108554.2</v>
      </c>
      <c r="K633" s="475">
        <f t="shared" si="70"/>
        <v>156.19309352517985</v>
      </c>
      <c r="L633" s="475">
        <f t="shared" si="71"/>
        <v>95.95238894968239</v>
      </c>
    </row>
    <row r="634" spans="1:12" ht="24">
      <c r="A634" s="62" t="s">
        <v>139</v>
      </c>
      <c r="B634" s="52" t="s">
        <v>673</v>
      </c>
      <c r="C634" s="55" t="s">
        <v>1151</v>
      </c>
      <c r="D634" s="55" t="s">
        <v>1291</v>
      </c>
      <c r="E634" s="55" t="s">
        <v>1049</v>
      </c>
      <c r="F634" s="55" t="s">
        <v>1454</v>
      </c>
      <c r="G634" s="436">
        <f>G635</f>
        <v>110000</v>
      </c>
      <c r="H634" s="436">
        <f>H635</f>
        <v>110473.7</v>
      </c>
      <c r="J634" s="436">
        <f>J635</f>
        <v>110473.7</v>
      </c>
      <c r="K634" s="475">
        <f t="shared" si="70"/>
        <v>100.43063636363637</v>
      </c>
      <c r="L634" s="475">
        <f t="shared" si="71"/>
        <v>100</v>
      </c>
    </row>
    <row r="635" spans="1:12" ht="24">
      <c r="A635" s="57" t="s">
        <v>141</v>
      </c>
      <c r="B635" s="52" t="s">
        <v>673</v>
      </c>
      <c r="C635" s="55" t="s">
        <v>1151</v>
      </c>
      <c r="D635" s="55" t="s">
        <v>1291</v>
      </c>
      <c r="E635" s="55" t="s">
        <v>1049</v>
      </c>
      <c r="F635" s="55" t="s">
        <v>554</v>
      </c>
      <c r="G635" s="437">
        <f>110000</f>
        <v>110000</v>
      </c>
      <c r="H635" s="437">
        <f>110000+378.3+343.4-248</f>
        <v>110473.7</v>
      </c>
      <c r="J635" s="437">
        <f>110000+378.3+343.4-248</f>
        <v>110473.7</v>
      </c>
      <c r="K635" s="475">
        <f t="shared" si="70"/>
        <v>100.43063636363637</v>
      </c>
      <c r="L635" s="475">
        <f t="shared" si="71"/>
        <v>100</v>
      </c>
    </row>
    <row r="636" spans="1:12" ht="28.5" customHeight="1">
      <c r="A636" s="57" t="s">
        <v>1050</v>
      </c>
      <c r="B636" s="52" t="s">
        <v>673</v>
      </c>
      <c r="C636" s="55" t="s">
        <v>1151</v>
      </c>
      <c r="D636" s="55" t="s">
        <v>1291</v>
      </c>
      <c r="E636" s="55" t="s">
        <v>1049</v>
      </c>
      <c r="F636" s="55" t="s">
        <v>554</v>
      </c>
      <c r="G636" s="447">
        <v>0</v>
      </c>
      <c r="H636" s="447">
        <v>378.3</v>
      </c>
      <c r="J636" s="447">
        <v>378.3</v>
      </c>
      <c r="K636" s="475">
        <v>0</v>
      </c>
      <c r="L636" s="475">
        <f t="shared" si="71"/>
        <v>100</v>
      </c>
    </row>
    <row r="637" spans="1:12" ht="24">
      <c r="A637" s="64" t="s">
        <v>1051</v>
      </c>
      <c r="B637" s="52" t="s">
        <v>673</v>
      </c>
      <c r="C637" s="55" t="s">
        <v>1151</v>
      </c>
      <c r="D637" s="55" t="s">
        <v>1291</v>
      </c>
      <c r="E637" s="55" t="s">
        <v>1052</v>
      </c>
      <c r="F637" s="55" t="s">
        <v>920</v>
      </c>
      <c r="G637" s="436">
        <f>G638</f>
        <v>20500</v>
      </c>
      <c r="H637" s="436">
        <f>H638</f>
        <v>24180.9</v>
      </c>
      <c r="J637" s="436">
        <f>J638</f>
        <v>24091.8</v>
      </c>
      <c r="K637" s="475">
        <f>J637/G637*100</f>
        <v>117.52097560975609</v>
      </c>
      <c r="L637" s="475">
        <f t="shared" si="71"/>
        <v>99.63152736250511</v>
      </c>
    </row>
    <row r="638" spans="1:12" ht="24">
      <c r="A638" s="206" t="s">
        <v>68</v>
      </c>
      <c r="B638" s="52" t="s">
        <v>673</v>
      </c>
      <c r="C638" s="55" t="s">
        <v>1151</v>
      </c>
      <c r="D638" s="55" t="s">
        <v>1291</v>
      </c>
      <c r="E638" s="55" t="s">
        <v>1053</v>
      </c>
      <c r="F638" s="55" t="s">
        <v>528</v>
      </c>
      <c r="G638" s="436">
        <f>G639</f>
        <v>20500</v>
      </c>
      <c r="H638" s="436">
        <f>H639</f>
        <v>24180.9</v>
      </c>
      <c r="J638" s="436">
        <f>J639</f>
        <v>24091.8</v>
      </c>
      <c r="K638" s="475">
        <f>J638/G638*100</f>
        <v>117.52097560975609</v>
      </c>
      <c r="L638" s="475">
        <f t="shared" si="71"/>
        <v>99.63152736250511</v>
      </c>
    </row>
    <row r="639" spans="1:12" ht="24">
      <c r="A639" s="206" t="s">
        <v>710</v>
      </c>
      <c r="B639" s="52" t="s">
        <v>673</v>
      </c>
      <c r="C639" s="55" t="s">
        <v>1151</v>
      </c>
      <c r="D639" s="55" t="s">
        <v>1291</v>
      </c>
      <c r="E639" s="55" t="s">
        <v>1053</v>
      </c>
      <c r="F639" s="55" t="s">
        <v>1486</v>
      </c>
      <c r="G639" s="437">
        <v>20500</v>
      </c>
      <c r="H639" s="437">
        <f>22610.9+820+750</f>
        <v>24180.9</v>
      </c>
      <c r="J639" s="437">
        <v>24091.8</v>
      </c>
      <c r="K639" s="475">
        <f>J639/G639*100</f>
        <v>117.52097560975609</v>
      </c>
      <c r="L639" s="475">
        <f t="shared" si="71"/>
        <v>99.63152736250511</v>
      </c>
    </row>
    <row r="640" spans="1:12" ht="34.5" customHeight="1">
      <c r="A640" s="57" t="s">
        <v>1054</v>
      </c>
      <c r="B640" s="52" t="s">
        <v>673</v>
      </c>
      <c r="C640" s="55" t="s">
        <v>1151</v>
      </c>
      <c r="D640" s="55" t="s">
        <v>1291</v>
      </c>
      <c r="E640" s="55" t="s">
        <v>1055</v>
      </c>
      <c r="F640" s="55" t="s">
        <v>920</v>
      </c>
      <c r="G640" s="436">
        <f>G641</f>
        <v>0</v>
      </c>
      <c r="H640" s="436">
        <f>H641</f>
        <v>2306</v>
      </c>
      <c r="J640" s="436">
        <f>J641</f>
        <v>0</v>
      </c>
      <c r="K640" s="475">
        <v>0</v>
      </c>
      <c r="L640" s="475">
        <f t="shared" si="71"/>
        <v>0</v>
      </c>
    </row>
    <row r="641" spans="1:12" ht="34.5" customHeight="1">
      <c r="A641" s="206" t="s">
        <v>68</v>
      </c>
      <c r="B641" s="52" t="s">
        <v>673</v>
      </c>
      <c r="C641" s="55" t="s">
        <v>1151</v>
      </c>
      <c r="D641" s="55" t="s">
        <v>1291</v>
      </c>
      <c r="E641" s="55" t="s">
        <v>1055</v>
      </c>
      <c r="F641" s="55" t="s">
        <v>528</v>
      </c>
      <c r="G641" s="436">
        <f>G642</f>
        <v>0</v>
      </c>
      <c r="H641" s="436">
        <f>H642</f>
        <v>2306</v>
      </c>
      <c r="J641" s="436">
        <f>J642</f>
        <v>0</v>
      </c>
      <c r="K641" s="475">
        <v>0</v>
      </c>
      <c r="L641" s="475">
        <f t="shared" si="71"/>
        <v>0</v>
      </c>
    </row>
    <row r="642" spans="1:12" ht="24.75" customHeight="1">
      <c r="A642" s="206" t="s">
        <v>710</v>
      </c>
      <c r="B642" s="52" t="s">
        <v>673</v>
      </c>
      <c r="C642" s="55" t="s">
        <v>1151</v>
      </c>
      <c r="D642" s="55" t="s">
        <v>1291</v>
      </c>
      <c r="E642" s="55" t="s">
        <v>1055</v>
      </c>
      <c r="F642" s="55" t="s">
        <v>1486</v>
      </c>
      <c r="G642" s="437">
        <v>0</v>
      </c>
      <c r="H642" s="437">
        <f>322+500+1484</f>
        <v>2306</v>
      </c>
      <c r="J642" s="437">
        <v>0</v>
      </c>
      <c r="K642" s="475">
        <v>0</v>
      </c>
      <c r="L642" s="475">
        <f t="shared" si="71"/>
        <v>0</v>
      </c>
    </row>
    <row r="643" spans="1:12" ht="15.75">
      <c r="A643" s="61" t="s">
        <v>1187</v>
      </c>
      <c r="B643" s="52" t="s">
        <v>673</v>
      </c>
      <c r="C643" s="55" t="s">
        <v>1151</v>
      </c>
      <c r="D643" s="55" t="s">
        <v>519</v>
      </c>
      <c r="E643" s="55"/>
      <c r="F643" s="55"/>
      <c r="G643" s="436">
        <f>G644+G654</f>
        <v>14350</v>
      </c>
      <c r="H643" s="436">
        <f>H644+H654</f>
        <v>21779.6</v>
      </c>
      <c r="J643" s="436">
        <f>J644+J654</f>
        <v>21062</v>
      </c>
      <c r="K643" s="460">
        <f>J643/G643*100</f>
        <v>146.77351916376307</v>
      </c>
      <c r="L643" s="460">
        <f t="shared" si="71"/>
        <v>96.70517364873552</v>
      </c>
    </row>
    <row r="644" spans="1:12" ht="15.75">
      <c r="A644" s="63" t="s">
        <v>66</v>
      </c>
      <c r="B644" s="52" t="s">
        <v>673</v>
      </c>
      <c r="C644" s="55" t="s">
        <v>1151</v>
      </c>
      <c r="D644" s="55" t="s">
        <v>519</v>
      </c>
      <c r="E644" s="55" t="s">
        <v>718</v>
      </c>
      <c r="F644" s="55"/>
      <c r="G644" s="436">
        <f>G645+G650</f>
        <v>2208</v>
      </c>
      <c r="H644" s="436">
        <f>H645+H650</f>
        <v>9637.6</v>
      </c>
      <c r="J644" s="436">
        <f>J645+J650</f>
        <v>8920</v>
      </c>
      <c r="K644" s="460">
        <f>J644/G644*100</f>
        <v>403.98550724637687</v>
      </c>
      <c r="L644" s="460">
        <f t="shared" si="71"/>
        <v>92.55416286212335</v>
      </c>
    </row>
    <row r="645" spans="1:12" ht="35.25" customHeight="1">
      <c r="A645" s="62" t="s">
        <v>1056</v>
      </c>
      <c r="B645" s="52" t="s">
        <v>673</v>
      </c>
      <c r="C645" s="55" t="s">
        <v>1151</v>
      </c>
      <c r="D645" s="55" t="s">
        <v>519</v>
      </c>
      <c r="E645" s="55" t="s">
        <v>1057</v>
      </c>
      <c r="F645" s="55"/>
      <c r="G645" s="436">
        <f>G646</f>
        <v>2208</v>
      </c>
      <c r="H645" s="436">
        <f>H646</f>
        <v>4961.6</v>
      </c>
      <c r="J645" s="436">
        <f>J646</f>
        <v>4798.7</v>
      </c>
      <c r="K645" s="475">
        <f>J645/G645*100</f>
        <v>217.33242753623188</v>
      </c>
      <c r="L645" s="475">
        <f t="shared" si="71"/>
        <v>96.71678490809416</v>
      </c>
    </row>
    <row r="646" spans="1:12" ht="27.75" customHeight="1">
      <c r="A646" s="62" t="s">
        <v>139</v>
      </c>
      <c r="B646" s="52" t="s">
        <v>673</v>
      </c>
      <c r="C646" s="55" t="s">
        <v>1151</v>
      </c>
      <c r="D646" s="55" t="s">
        <v>519</v>
      </c>
      <c r="E646" s="55" t="s">
        <v>1058</v>
      </c>
      <c r="F646" s="55" t="s">
        <v>1454</v>
      </c>
      <c r="G646" s="436">
        <f>G647</f>
        <v>2208</v>
      </c>
      <c r="H646" s="436">
        <f>H647</f>
        <v>4961.6</v>
      </c>
      <c r="J646" s="436">
        <f>J647</f>
        <v>4798.7</v>
      </c>
      <c r="K646" s="475">
        <f>J646/G646*100</f>
        <v>217.33242753623188</v>
      </c>
      <c r="L646" s="475">
        <f t="shared" si="71"/>
        <v>96.71678490809416</v>
      </c>
    </row>
    <row r="647" spans="1:12" ht="24">
      <c r="A647" s="57" t="s">
        <v>1059</v>
      </c>
      <c r="B647" s="52" t="s">
        <v>673</v>
      </c>
      <c r="C647" s="55" t="s">
        <v>1151</v>
      </c>
      <c r="D647" s="55" t="s">
        <v>519</v>
      </c>
      <c r="E647" s="55" t="s">
        <v>1058</v>
      </c>
      <c r="F647" s="55" t="s">
        <v>554</v>
      </c>
      <c r="G647" s="437">
        <f>2208</f>
        <v>2208</v>
      </c>
      <c r="H647" s="437">
        <f>2208+1254.9+1498.7</f>
        <v>4961.6</v>
      </c>
      <c r="J647" s="437">
        <v>4798.7</v>
      </c>
      <c r="K647" s="475">
        <f>J647/G647*100</f>
        <v>217.33242753623188</v>
      </c>
      <c r="L647" s="475">
        <f t="shared" si="71"/>
        <v>96.71678490809416</v>
      </c>
    </row>
    <row r="648" spans="1:12" ht="48">
      <c r="A648" s="57" t="s">
        <v>1060</v>
      </c>
      <c r="B648" s="52" t="s">
        <v>673</v>
      </c>
      <c r="C648" s="55" t="s">
        <v>1151</v>
      </c>
      <c r="D648" s="55" t="s">
        <v>519</v>
      </c>
      <c r="E648" s="55" t="s">
        <v>1058</v>
      </c>
      <c r="F648" s="55" t="s">
        <v>554</v>
      </c>
      <c r="G648" s="437">
        <v>0</v>
      </c>
      <c r="H648" s="437">
        <v>1254.9</v>
      </c>
      <c r="J648" s="437">
        <v>1217.4</v>
      </c>
      <c r="K648" s="475">
        <v>0</v>
      </c>
      <c r="L648" s="475">
        <f t="shared" si="71"/>
        <v>97.01171408080324</v>
      </c>
    </row>
    <row r="649" spans="1:12" ht="36">
      <c r="A649" s="57" t="s">
        <v>1061</v>
      </c>
      <c r="B649" s="52" t="s">
        <v>673</v>
      </c>
      <c r="C649" s="55" t="s">
        <v>1151</v>
      </c>
      <c r="D649" s="55" t="s">
        <v>519</v>
      </c>
      <c r="E649" s="55" t="s">
        <v>1058</v>
      </c>
      <c r="F649" s="55" t="s">
        <v>554</v>
      </c>
      <c r="G649" s="437">
        <v>0</v>
      </c>
      <c r="H649" s="437">
        <v>1498.7</v>
      </c>
      <c r="J649" s="437">
        <v>1373.3</v>
      </c>
      <c r="K649" s="475">
        <v>0</v>
      </c>
      <c r="L649" s="475">
        <f t="shared" si="71"/>
        <v>91.63274838193101</v>
      </c>
    </row>
    <row r="650" spans="1:12" ht="36">
      <c r="A650" s="207" t="s">
        <v>137</v>
      </c>
      <c r="B650" s="52" t="s">
        <v>673</v>
      </c>
      <c r="C650" s="55" t="s">
        <v>1151</v>
      </c>
      <c r="D650" s="55" t="s">
        <v>519</v>
      </c>
      <c r="E650" s="55" t="s">
        <v>138</v>
      </c>
      <c r="F650" s="55"/>
      <c r="G650" s="436">
        <f aca="true" t="shared" si="72" ref="G650:H652">G651</f>
        <v>0</v>
      </c>
      <c r="H650" s="436">
        <f t="shared" si="72"/>
        <v>4676</v>
      </c>
      <c r="J650" s="436">
        <f>J651</f>
        <v>4121.3</v>
      </c>
      <c r="K650" s="475">
        <v>0</v>
      </c>
      <c r="L650" s="475">
        <f t="shared" si="71"/>
        <v>88.13729683490162</v>
      </c>
    </row>
    <row r="651" spans="1:12" ht="36">
      <c r="A651" s="57" t="s">
        <v>1062</v>
      </c>
      <c r="B651" s="52" t="s">
        <v>673</v>
      </c>
      <c r="C651" s="55" t="s">
        <v>1151</v>
      </c>
      <c r="D651" s="55" t="s">
        <v>519</v>
      </c>
      <c r="E651" s="55" t="s">
        <v>1063</v>
      </c>
      <c r="F651" s="55"/>
      <c r="G651" s="436">
        <f t="shared" si="72"/>
        <v>0</v>
      </c>
      <c r="H651" s="436">
        <f t="shared" si="72"/>
        <v>4676</v>
      </c>
      <c r="J651" s="436">
        <f>J652</f>
        <v>4121.3</v>
      </c>
      <c r="K651" s="475">
        <v>0</v>
      </c>
      <c r="L651" s="475">
        <f t="shared" si="71"/>
        <v>88.13729683490162</v>
      </c>
    </row>
    <row r="652" spans="1:12" ht="24">
      <c r="A652" s="206" t="s">
        <v>68</v>
      </c>
      <c r="B652" s="52" t="s">
        <v>673</v>
      </c>
      <c r="C652" s="55" t="s">
        <v>1151</v>
      </c>
      <c r="D652" s="55" t="s">
        <v>519</v>
      </c>
      <c r="E652" s="55" t="s">
        <v>1063</v>
      </c>
      <c r="F652" s="55" t="s">
        <v>528</v>
      </c>
      <c r="G652" s="436">
        <f t="shared" si="72"/>
        <v>0</v>
      </c>
      <c r="H652" s="436">
        <f t="shared" si="72"/>
        <v>4676</v>
      </c>
      <c r="J652" s="436">
        <f>J653</f>
        <v>4121.3</v>
      </c>
      <c r="K652" s="475">
        <v>0</v>
      </c>
      <c r="L652" s="475">
        <f t="shared" si="71"/>
        <v>88.13729683490162</v>
      </c>
    </row>
    <row r="653" spans="1:12" ht="24">
      <c r="A653" s="206" t="s">
        <v>710</v>
      </c>
      <c r="B653" s="52" t="s">
        <v>673</v>
      </c>
      <c r="C653" s="55" t="s">
        <v>1151</v>
      </c>
      <c r="D653" s="55" t="s">
        <v>519</v>
      </c>
      <c r="E653" s="55" t="s">
        <v>1063</v>
      </c>
      <c r="F653" s="55" t="s">
        <v>1486</v>
      </c>
      <c r="G653" s="437">
        <v>0</v>
      </c>
      <c r="H653" s="437">
        <v>4676</v>
      </c>
      <c r="J653" s="437">
        <v>4121.3</v>
      </c>
      <c r="K653" s="475">
        <v>0</v>
      </c>
      <c r="L653" s="475">
        <f t="shared" si="71"/>
        <v>88.13729683490162</v>
      </c>
    </row>
    <row r="654" spans="1:12" ht="32.25" customHeight="1">
      <c r="A654" s="56" t="s">
        <v>1064</v>
      </c>
      <c r="B654" s="52" t="s">
        <v>673</v>
      </c>
      <c r="C654" s="55" t="s">
        <v>1151</v>
      </c>
      <c r="D654" s="55" t="s">
        <v>519</v>
      </c>
      <c r="E654" s="55" t="s">
        <v>1065</v>
      </c>
      <c r="F654" s="55"/>
      <c r="G654" s="436">
        <f aca="true" t="shared" si="73" ref="G654:H656">G655</f>
        <v>12142</v>
      </c>
      <c r="H654" s="436">
        <f t="shared" si="73"/>
        <v>12142</v>
      </c>
      <c r="J654" s="436">
        <f>J655</f>
        <v>12142</v>
      </c>
      <c r="K654" s="475">
        <f>J654/G654*100</f>
        <v>100</v>
      </c>
      <c r="L654" s="475">
        <f t="shared" si="71"/>
        <v>100</v>
      </c>
    </row>
    <row r="655" spans="1:12" ht="27" customHeight="1">
      <c r="A655" s="57" t="s">
        <v>1066</v>
      </c>
      <c r="B655" s="52" t="s">
        <v>673</v>
      </c>
      <c r="C655" s="55" t="s">
        <v>1151</v>
      </c>
      <c r="D655" s="55" t="s">
        <v>519</v>
      </c>
      <c r="E655" s="55" t="s">
        <v>1067</v>
      </c>
      <c r="F655" s="55"/>
      <c r="G655" s="436">
        <f t="shared" si="73"/>
        <v>12142</v>
      </c>
      <c r="H655" s="436">
        <f t="shared" si="73"/>
        <v>12142</v>
      </c>
      <c r="J655" s="436">
        <f>J656</f>
        <v>12142</v>
      </c>
      <c r="K655" s="475">
        <f>J655/G655*100</f>
        <v>100</v>
      </c>
      <c r="L655" s="475">
        <f t="shared" si="71"/>
        <v>100</v>
      </c>
    </row>
    <row r="656" spans="1:12" ht="31.5" customHeight="1">
      <c r="A656" s="62" t="s">
        <v>139</v>
      </c>
      <c r="B656" s="52" t="s">
        <v>673</v>
      </c>
      <c r="C656" s="55" t="s">
        <v>1151</v>
      </c>
      <c r="D656" s="55" t="s">
        <v>519</v>
      </c>
      <c r="E656" s="55" t="s">
        <v>1068</v>
      </c>
      <c r="F656" s="55" t="s">
        <v>1454</v>
      </c>
      <c r="G656" s="436">
        <f t="shared" si="73"/>
        <v>12142</v>
      </c>
      <c r="H656" s="436">
        <f t="shared" si="73"/>
        <v>12142</v>
      </c>
      <c r="J656" s="436">
        <f>J657</f>
        <v>12142</v>
      </c>
      <c r="K656" s="475">
        <f>J656/G656*100</f>
        <v>100</v>
      </c>
      <c r="L656" s="475">
        <f t="shared" si="71"/>
        <v>100</v>
      </c>
    </row>
    <row r="657" spans="1:12" ht="17.25" customHeight="1">
      <c r="A657" s="57" t="s">
        <v>553</v>
      </c>
      <c r="B657" s="52" t="s">
        <v>673</v>
      </c>
      <c r="C657" s="55" t="s">
        <v>1151</v>
      </c>
      <c r="D657" s="55" t="s">
        <v>519</v>
      </c>
      <c r="E657" s="55" t="s">
        <v>1068</v>
      </c>
      <c r="F657" s="55" t="s">
        <v>554</v>
      </c>
      <c r="G657" s="437">
        <v>12142</v>
      </c>
      <c r="H657" s="437">
        <v>12142</v>
      </c>
      <c r="J657" s="437">
        <v>12142</v>
      </c>
      <c r="K657" s="475">
        <f>J657/G657*100</f>
        <v>100</v>
      </c>
      <c r="L657" s="475">
        <f t="shared" si="71"/>
        <v>100</v>
      </c>
    </row>
    <row r="658" spans="1:12" ht="17.25" customHeight="1">
      <c r="A658" s="61" t="s">
        <v>1175</v>
      </c>
      <c r="B658" s="52" t="s">
        <v>673</v>
      </c>
      <c r="C658" s="55" t="s">
        <v>1151</v>
      </c>
      <c r="D658" s="55" t="s">
        <v>1176</v>
      </c>
      <c r="E658" s="55"/>
      <c r="F658" s="74"/>
      <c r="G658" s="436">
        <f>G659+G664+G669</f>
        <v>3170.6</v>
      </c>
      <c r="H658" s="436">
        <f>H659+H664+H669</f>
        <v>8287.5</v>
      </c>
      <c r="J658" s="436">
        <f>J659+J664+J669</f>
        <v>8151.1</v>
      </c>
      <c r="K658" s="460">
        <f aca="true" t="shared" si="74" ref="K658:K668">J658/G658*100</f>
        <v>257.08383271305115</v>
      </c>
      <c r="L658" s="460">
        <f aca="true" t="shared" si="75" ref="L658:L691">J658/H658*100</f>
        <v>98.35414781297135</v>
      </c>
    </row>
    <row r="659" spans="1:12" ht="20.25" customHeight="1">
      <c r="A659" s="63" t="s">
        <v>66</v>
      </c>
      <c r="B659" s="52" t="s">
        <v>673</v>
      </c>
      <c r="C659" s="55" t="s">
        <v>1151</v>
      </c>
      <c r="D659" s="55" t="s">
        <v>1176</v>
      </c>
      <c r="E659" s="55" t="s">
        <v>718</v>
      </c>
      <c r="F659" s="55"/>
      <c r="G659" s="436">
        <f aca="true" t="shared" si="76" ref="G659:H662">G660</f>
        <v>1450</v>
      </c>
      <c r="H659" s="436">
        <f t="shared" si="76"/>
        <v>1340.3000000000002</v>
      </c>
      <c r="J659" s="436">
        <f>J660</f>
        <v>1302.6</v>
      </c>
      <c r="K659" s="460">
        <f t="shared" si="74"/>
        <v>89.83448275862068</v>
      </c>
      <c r="L659" s="460">
        <f t="shared" si="75"/>
        <v>97.18719689621724</v>
      </c>
    </row>
    <row r="660" spans="1:12" ht="60" customHeight="1">
      <c r="A660" s="57" t="s">
        <v>152</v>
      </c>
      <c r="B660" s="52" t="s">
        <v>673</v>
      </c>
      <c r="C660" s="55" t="s">
        <v>1151</v>
      </c>
      <c r="D660" s="55" t="s">
        <v>1176</v>
      </c>
      <c r="E660" s="55" t="s">
        <v>153</v>
      </c>
      <c r="F660" s="55"/>
      <c r="G660" s="436">
        <f t="shared" si="76"/>
        <v>1450</v>
      </c>
      <c r="H660" s="436">
        <f t="shared" si="76"/>
        <v>1340.3000000000002</v>
      </c>
      <c r="J660" s="436">
        <f>J661</f>
        <v>1302.6</v>
      </c>
      <c r="K660" s="475">
        <f t="shared" si="74"/>
        <v>89.83448275862068</v>
      </c>
      <c r="L660" s="475">
        <f t="shared" si="75"/>
        <v>97.18719689621724</v>
      </c>
    </row>
    <row r="661" spans="1:12" ht="18.75" customHeight="1">
      <c r="A661" s="64" t="s">
        <v>1456</v>
      </c>
      <c r="B661" s="52" t="s">
        <v>673</v>
      </c>
      <c r="C661" s="55" t="s">
        <v>1151</v>
      </c>
      <c r="D661" s="55" t="s">
        <v>1176</v>
      </c>
      <c r="E661" s="55" t="s">
        <v>1069</v>
      </c>
      <c r="F661" s="74" t="s">
        <v>920</v>
      </c>
      <c r="G661" s="436">
        <f t="shared" si="76"/>
        <v>1450</v>
      </c>
      <c r="H661" s="436">
        <f t="shared" si="76"/>
        <v>1340.3000000000002</v>
      </c>
      <c r="J661" s="436">
        <f>J662</f>
        <v>1302.6</v>
      </c>
      <c r="K661" s="475">
        <f t="shared" si="74"/>
        <v>89.83448275862068</v>
      </c>
      <c r="L661" s="475">
        <f t="shared" si="75"/>
        <v>97.18719689621724</v>
      </c>
    </row>
    <row r="662" spans="1:12" ht="27" customHeight="1">
      <c r="A662" s="206" t="s">
        <v>68</v>
      </c>
      <c r="B662" s="52" t="s">
        <v>673</v>
      </c>
      <c r="C662" s="55" t="s">
        <v>1151</v>
      </c>
      <c r="D662" s="55" t="s">
        <v>1176</v>
      </c>
      <c r="E662" s="55" t="s">
        <v>1069</v>
      </c>
      <c r="F662" s="74" t="s">
        <v>528</v>
      </c>
      <c r="G662" s="436">
        <f t="shared" si="76"/>
        <v>1450</v>
      </c>
      <c r="H662" s="436">
        <f t="shared" si="76"/>
        <v>1340.3000000000002</v>
      </c>
      <c r="J662" s="436">
        <f>J663</f>
        <v>1302.6</v>
      </c>
      <c r="K662" s="475">
        <f t="shared" si="74"/>
        <v>89.83448275862068</v>
      </c>
      <c r="L662" s="475">
        <f t="shared" si="75"/>
        <v>97.18719689621724</v>
      </c>
    </row>
    <row r="663" spans="1:12" ht="21" customHeight="1">
      <c r="A663" s="206" t="s">
        <v>710</v>
      </c>
      <c r="B663" s="52" t="s">
        <v>673</v>
      </c>
      <c r="C663" s="55" t="s">
        <v>1151</v>
      </c>
      <c r="D663" s="55" t="s">
        <v>1176</v>
      </c>
      <c r="E663" s="55" t="s">
        <v>1069</v>
      </c>
      <c r="F663" s="74" t="s">
        <v>1486</v>
      </c>
      <c r="G663" s="437">
        <f>1450</f>
        <v>1450</v>
      </c>
      <c r="H663" s="437">
        <f>1425-70-2.1-12.6</f>
        <v>1340.3000000000002</v>
      </c>
      <c r="J663" s="437">
        <v>1302.6</v>
      </c>
      <c r="K663" s="475">
        <f t="shared" si="74"/>
        <v>89.83448275862068</v>
      </c>
      <c r="L663" s="475">
        <f t="shared" si="75"/>
        <v>97.18719689621724</v>
      </c>
    </row>
    <row r="664" spans="1:12" ht="24">
      <c r="A664" s="206" t="s">
        <v>959</v>
      </c>
      <c r="B664" s="52" t="s">
        <v>673</v>
      </c>
      <c r="C664" s="55" t="s">
        <v>1151</v>
      </c>
      <c r="D664" s="55" t="s">
        <v>1176</v>
      </c>
      <c r="E664" s="55" t="s">
        <v>1032</v>
      </c>
      <c r="F664" s="74"/>
      <c r="G664" s="436">
        <f aca="true" t="shared" si="77" ref="G664:H667">G665</f>
        <v>720.6</v>
      </c>
      <c r="H664" s="436">
        <f t="shared" si="77"/>
        <v>647.2</v>
      </c>
      <c r="J664" s="436">
        <f>J665</f>
        <v>645</v>
      </c>
      <c r="K664" s="475">
        <f t="shared" si="74"/>
        <v>89.50874271440466</v>
      </c>
      <c r="L664" s="475">
        <f t="shared" si="75"/>
        <v>99.66007416563659</v>
      </c>
    </row>
    <row r="665" spans="1:12" ht="24">
      <c r="A665" s="206" t="s">
        <v>1033</v>
      </c>
      <c r="B665" s="52" t="s">
        <v>673</v>
      </c>
      <c r="C665" s="55" t="s">
        <v>1151</v>
      </c>
      <c r="D665" s="55" t="s">
        <v>1176</v>
      </c>
      <c r="E665" s="55" t="s">
        <v>1034</v>
      </c>
      <c r="F665" s="74"/>
      <c r="G665" s="436">
        <f t="shared" si="77"/>
        <v>720.6</v>
      </c>
      <c r="H665" s="436">
        <f t="shared" si="77"/>
        <v>647.2</v>
      </c>
      <c r="J665" s="436">
        <f>J666</f>
        <v>645</v>
      </c>
      <c r="K665" s="475">
        <f t="shared" si="74"/>
        <v>89.50874271440466</v>
      </c>
      <c r="L665" s="475">
        <f t="shared" si="75"/>
        <v>99.66007416563659</v>
      </c>
    </row>
    <row r="666" spans="1:12" ht="54.75" customHeight="1">
      <c r="A666" s="62" t="s">
        <v>960</v>
      </c>
      <c r="B666" s="52" t="s">
        <v>673</v>
      </c>
      <c r="C666" s="55" t="s">
        <v>1151</v>
      </c>
      <c r="D666" s="55" t="s">
        <v>1176</v>
      </c>
      <c r="E666" s="55" t="s">
        <v>353</v>
      </c>
      <c r="F666" s="74" t="s">
        <v>920</v>
      </c>
      <c r="G666" s="436">
        <f t="shared" si="77"/>
        <v>720.6</v>
      </c>
      <c r="H666" s="436">
        <f t="shared" si="77"/>
        <v>647.2</v>
      </c>
      <c r="J666" s="436">
        <f>J667</f>
        <v>645</v>
      </c>
      <c r="K666" s="475">
        <f t="shared" si="74"/>
        <v>89.50874271440466</v>
      </c>
      <c r="L666" s="475">
        <f t="shared" si="75"/>
        <v>99.66007416563659</v>
      </c>
    </row>
    <row r="667" spans="1:12" ht="24">
      <c r="A667" s="62" t="s">
        <v>139</v>
      </c>
      <c r="B667" s="52" t="s">
        <v>673</v>
      </c>
      <c r="C667" s="55" t="s">
        <v>1151</v>
      </c>
      <c r="D667" s="55" t="s">
        <v>1176</v>
      </c>
      <c r="E667" s="55" t="s">
        <v>353</v>
      </c>
      <c r="F667" s="74" t="s">
        <v>1454</v>
      </c>
      <c r="G667" s="436">
        <f t="shared" si="77"/>
        <v>720.6</v>
      </c>
      <c r="H667" s="436">
        <f t="shared" si="77"/>
        <v>647.2</v>
      </c>
      <c r="J667" s="436">
        <f>J668</f>
        <v>645</v>
      </c>
      <c r="K667" s="475">
        <f t="shared" si="74"/>
        <v>89.50874271440466</v>
      </c>
      <c r="L667" s="475">
        <f t="shared" si="75"/>
        <v>99.66007416563659</v>
      </c>
    </row>
    <row r="668" spans="1:12" ht="24">
      <c r="A668" s="57" t="s">
        <v>553</v>
      </c>
      <c r="B668" s="52" t="s">
        <v>673</v>
      </c>
      <c r="C668" s="55" t="s">
        <v>1151</v>
      </c>
      <c r="D668" s="55" t="s">
        <v>1176</v>
      </c>
      <c r="E668" s="55" t="s">
        <v>353</v>
      </c>
      <c r="F668" s="55" t="s">
        <v>554</v>
      </c>
      <c r="G668" s="437">
        <f>720.6</f>
        <v>720.6</v>
      </c>
      <c r="H668" s="437">
        <f>720.6-73.4</f>
        <v>647.2</v>
      </c>
      <c r="J668" s="437">
        <v>645</v>
      </c>
      <c r="K668" s="475">
        <f t="shared" si="74"/>
        <v>89.50874271440466</v>
      </c>
      <c r="L668" s="475">
        <f t="shared" si="75"/>
        <v>99.66007416563659</v>
      </c>
    </row>
    <row r="669" spans="1:12" ht="24">
      <c r="A669" s="56" t="s">
        <v>650</v>
      </c>
      <c r="B669" s="52" t="s">
        <v>673</v>
      </c>
      <c r="C669" s="55" t="s">
        <v>1151</v>
      </c>
      <c r="D669" s="55" t="s">
        <v>1176</v>
      </c>
      <c r="E669" s="55" t="s">
        <v>651</v>
      </c>
      <c r="F669" s="55"/>
      <c r="G669" s="436">
        <f>G670</f>
        <v>1000</v>
      </c>
      <c r="H669" s="436">
        <f>H670</f>
        <v>6300</v>
      </c>
      <c r="J669" s="436">
        <f>J670</f>
        <v>6203.5</v>
      </c>
      <c r="K669" s="475">
        <f>J669/G669*100</f>
        <v>620.35</v>
      </c>
      <c r="L669" s="475">
        <f t="shared" si="75"/>
        <v>98.46825396825398</v>
      </c>
    </row>
    <row r="670" spans="1:12" ht="24">
      <c r="A670" s="62" t="s">
        <v>354</v>
      </c>
      <c r="B670" s="52" t="s">
        <v>673</v>
      </c>
      <c r="C670" s="55" t="s">
        <v>1151</v>
      </c>
      <c r="D670" s="55" t="s">
        <v>1176</v>
      </c>
      <c r="E670" s="55" t="s">
        <v>355</v>
      </c>
      <c r="F670" s="55" t="s">
        <v>920</v>
      </c>
      <c r="G670" s="436">
        <f>G671</f>
        <v>1000</v>
      </c>
      <c r="H670" s="436">
        <f>H671</f>
        <v>6300</v>
      </c>
      <c r="J670" s="436">
        <f>J671</f>
        <v>6203.5</v>
      </c>
      <c r="K670" s="475">
        <f>J670/G670*100</f>
        <v>620.35</v>
      </c>
      <c r="L670" s="475">
        <f t="shared" si="75"/>
        <v>98.46825396825398</v>
      </c>
    </row>
    <row r="671" spans="1:12" ht="24">
      <c r="A671" s="206" t="s">
        <v>793</v>
      </c>
      <c r="B671" s="52" t="s">
        <v>673</v>
      </c>
      <c r="C671" s="55" t="s">
        <v>1151</v>
      </c>
      <c r="D671" s="55" t="s">
        <v>1176</v>
      </c>
      <c r="E671" s="55" t="s">
        <v>355</v>
      </c>
      <c r="F671" s="55" t="s">
        <v>794</v>
      </c>
      <c r="G671" s="436">
        <f>G672+G673+G677</f>
        <v>1000</v>
      </c>
      <c r="H671" s="436">
        <f>H672+H673+H677+H674</f>
        <v>6300</v>
      </c>
      <c r="J671" s="436">
        <f>J672+J673+J677+J674</f>
        <v>6203.5</v>
      </c>
      <c r="K671" s="475">
        <f>J671/G671*100</f>
        <v>620.35</v>
      </c>
      <c r="L671" s="475">
        <f t="shared" si="75"/>
        <v>98.46825396825398</v>
      </c>
    </row>
    <row r="672" spans="1:12" ht="36">
      <c r="A672" s="57" t="s">
        <v>356</v>
      </c>
      <c r="B672" s="52" t="s">
        <v>673</v>
      </c>
      <c r="C672" s="55" t="s">
        <v>1151</v>
      </c>
      <c r="D672" s="55" t="s">
        <v>1176</v>
      </c>
      <c r="E672" s="55" t="s">
        <v>357</v>
      </c>
      <c r="F672" s="55" t="s">
        <v>809</v>
      </c>
      <c r="G672" s="437">
        <v>1000</v>
      </c>
      <c r="H672" s="437">
        <v>500</v>
      </c>
      <c r="J672" s="437">
        <v>500</v>
      </c>
      <c r="K672" s="475">
        <f>J672/G672*100</f>
        <v>50</v>
      </c>
      <c r="L672" s="475">
        <f t="shared" si="75"/>
        <v>100</v>
      </c>
    </row>
    <row r="673" spans="1:12" ht="48">
      <c r="A673" s="57" t="s">
        <v>358</v>
      </c>
      <c r="B673" s="52" t="s">
        <v>673</v>
      </c>
      <c r="C673" s="55" t="s">
        <v>1151</v>
      </c>
      <c r="D673" s="55" t="s">
        <v>1176</v>
      </c>
      <c r="E673" s="55" t="s">
        <v>359</v>
      </c>
      <c r="F673" s="55" t="s">
        <v>809</v>
      </c>
      <c r="G673" s="437">
        <v>0</v>
      </c>
      <c r="H673" s="437">
        <f>500+300</f>
        <v>800</v>
      </c>
      <c r="J673" s="437">
        <v>703.5</v>
      </c>
      <c r="K673" s="475">
        <v>0</v>
      </c>
      <c r="L673" s="475">
        <f t="shared" si="75"/>
        <v>87.9375</v>
      </c>
    </row>
    <row r="674" spans="1:12" ht="24">
      <c r="A674" s="206" t="s">
        <v>793</v>
      </c>
      <c r="B674" s="52"/>
      <c r="C674" s="55" t="s">
        <v>1151</v>
      </c>
      <c r="D674" s="55" t="s">
        <v>1176</v>
      </c>
      <c r="E674" s="55" t="s">
        <v>562</v>
      </c>
      <c r="F674" s="55" t="s">
        <v>794</v>
      </c>
      <c r="G674" s="463">
        <f>G675</f>
        <v>0</v>
      </c>
      <c r="H674" s="463">
        <f>H675</f>
        <v>3500</v>
      </c>
      <c r="I674" s="464"/>
      <c r="J674" s="463">
        <f>J675</f>
        <v>3500</v>
      </c>
      <c r="K674" s="475">
        <v>0</v>
      </c>
      <c r="L674" s="475">
        <f t="shared" si="75"/>
        <v>100</v>
      </c>
    </row>
    <row r="675" spans="1:12" ht="96">
      <c r="A675" s="375" t="s">
        <v>361</v>
      </c>
      <c r="B675" s="52"/>
      <c r="C675" s="55" t="s">
        <v>1151</v>
      </c>
      <c r="D675" s="55" t="s">
        <v>1176</v>
      </c>
      <c r="E675" s="55" t="s">
        <v>562</v>
      </c>
      <c r="F675" s="55" t="s">
        <v>809</v>
      </c>
      <c r="G675" s="437">
        <v>0</v>
      </c>
      <c r="H675" s="437">
        <v>3500</v>
      </c>
      <c r="J675" s="437">
        <v>3500</v>
      </c>
      <c r="K675" s="475">
        <v>0</v>
      </c>
      <c r="L675" s="475">
        <f t="shared" si="75"/>
        <v>100</v>
      </c>
    </row>
    <row r="676" spans="1:12" ht="24">
      <c r="A676" s="206" t="s">
        <v>793</v>
      </c>
      <c r="B676" s="52" t="s">
        <v>673</v>
      </c>
      <c r="C676" s="55" t="s">
        <v>1151</v>
      </c>
      <c r="D676" s="55" t="s">
        <v>1176</v>
      </c>
      <c r="E676" s="55" t="s">
        <v>360</v>
      </c>
      <c r="F676" s="55" t="s">
        <v>794</v>
      </c>
      <c r="G676" s="463">
        <f>G677</f>
        <v>0</v>
      </c>
      <c r="H676" s="463">
        <f>H677</f>
        <v>1500</v>
      </c>
      <c r="I676" s="464"/>
      <c r="J676" s="463">
        <f>J677</f>
        <v>1500</v>
      </c>
      <c r="K676" s="475">
        <v>0</v>
      </c>
      <c r="L676" s="475">
        <f t="shared" si="75"/>
        <v>100</v>
      </c>
    </row>
    <row r="677" spans="1:12" ht="96">
      <c r="A677" s="375" t="s">
        <v>361</v>
      </c>
      <c r="B677" s="52" t="s">
        <v>673</v>
      </c>
      <c r="C677" s="55" t="s">
        <v>1151</v>
      </c>
      <c r="D677" s="55" t="s">
        <v>1176</v>
      </c>
      <c r="E677" s="55" t="s">
        <v>360</v>
      </c>
      <c r="F677" s="55" t="s">
        <v>809</v>
      </c>
      <c r="G677" s="437">
        <v>0</v>
      </c>
      <c r="H677" s="437">
        <v>1500</v>
      </c>
      <c r="J677" s="437">
        <v>1500</v>
      </c>
      <c r="K677" s="475">
        <v>0</v>
      </c>
      <c r="L677" s="475">
        <f t="shared" si="75"/>
        <v>100</v>
      </c>
    </row>
    <row r="678" spans="1:12" ht="15.75">
      <c r="A678" s="58" t="s">
        <v>1447</v>
      </c>
      <c r="B678" s="52" t="s">
        <v>673</v>
      </c>
      <c r="C678" s="55" t="s">
        <v>792</v>
      </c>
      <c r="D678" s="55"/>
      <c r="E678" s="55"/>
      <c r="F678" s="74"/>
      <c r="G678" s="444">
        <f>G679+G692+G711</f>
        <v>242126</v>
      </c>
      <c r="H678" s="444">
        <f>H679+H692+H711</f>
        <v>557082</v>
      </c>
      <c r="J678" s="444">
        <f>J679+J692+J711</f>
        <v>437453.49999999994</v>
      </c>
      <c r="K678" s="460">
        <f aca="true" t="shared" si="78" ref="K678:K683">J678/G678*100</f>
        <v>180.6718402815063</v>
      </c>
      <c r="L678" s="460">
        <f t="shared" si="75"/>
        <v>78.52587231323214</v>
      </c>
    </row>
    <row r="679" spans="1:12" ht="15.75">
      <c r="A679" s="61" t="s">
        <v>1083</v>
      </c>
      <c r="B679" s="52" t="s">
        <v>673</v>
      </c>
      <c r="C679" s="74" t="s">
        <v>792</v>
      </c>
      <c r="D679" s="74" t="s">
        <v>1105</v>
      </c>
      <c r="E679" s="74"/>
      <c r="F679" s="74"/>
      <c r="G679" s="436">
        <f>G680+G688</f>
        <v>56430</v>
      </c>
      <c r="H679" s="436">
        <f>H680+H688</f>
        <v>92096.1</v>
      </c>
      <c r="J679" s="436">
        <f>J680+J688</f>
        <v>89664.5</v>
      </c>
      <c r="K679" s="460">
        <f t="shared" si="78"/>
        <v>158.8950912635123</v>
      </c>
      <c r="L679" s="460">
        <f t="shared" si="75"/>
        <v>97.35971447216548</v>
      </c>
    </row>
    <row r="680" spans="1:12" ht="24">
      <c r="A680" s="56" t="s">
        <v>351</v>
      </c>
      <c r="B680" s="52" t="s">
        <v>673</v>
      </c>
      <c r="C680" s="74" t="s">
        <v>792</v>
      </c>
      <c r="D680" s="74" t="s">
        <v>1105</v>
      </c>
      <c r="E680" s="74" t="s">
        <v>1032</v>
      </c>
      <c r="F680" s="74"/>
      <c r="G680" s="436">
        <f>G681+G685</f>
        <v>48000</v>
      </c>
      <c r="H680" s="436">
        <f>H681+H685</f>
        <v>65047.6</v>
      </c>
      <c r="J680" s="436">
        <f>J681+J685</f>
        <v>63707.9</v>
      </c>
      <c r="K680" s="460">
        <f t="shared" si="78"/>
        <v>132.72479166666668</v>
      </c>
      <c r="L680" s="460">
        <f t="shared" si="75"/>
        <v>97.940431314914</v>
      </c>
    </row>
    <row r="681" spans="1:12" ht="36">
      <c r="A681" s="62" t="s">
        <v>961</v>
      </c>
      <c r="B681" s="52" t="s">
        <v>673</v>
      </c>
      <c r="C681" s="74" t="s">
        <v>792</v>
      </c>
      <c r="D681" s="74" t="s">
        <v>1105</v>
      </c>
      <c r="E681" s="74" t="s">
        <v>363</v>
      </c>
      <c r="F681" s="74" t="s">
        <v>920</v>
      </c>
      <c r="G681" s="436">
        <f>G682</f>
        <v>10000</v>
      </c>
      <c r="H681" s="436">
        <f>H682</f>
        <v>32556.5</v>
      </c>
      <c r="J681" s="436">
        <f>J682</f>
        <v>31352.5</v>
      </c>
      <c r="K681" s="475">
        <f t="shared" si="78"/>
        <v>313.52500000000003</v>
      </c>
      <c r="L681" s="475">
        <f t="shared" si="75"/>
        <v>96.3018137699077</v>
      </c>
    </row>
    <row r="682" spans="1:12" ht="15">
      <c r="A682" s="206" t="s">
        <v>793</v>
      </c>
      <c r="B682" s="52" t="s">
        <v>673</v>
      </c>
      <c r="C682" s="74" t="s">
        <v>792</v>
      </c>
      <c r="D682" s="74" t="s">
        <v>1105</v>
      </c>
      <c r="E682" s="74" t="s">
        <v>364</v>
      </c>
      <c r="F682" s="74" t="s">
        <v>794</v>
      </c>
      <c r="G682" s="436">
        <f>G683+G684</f>
        <v>10000</v>
      </c>
      <c r="H682" s="436">
        <f>H683+H684</f>
        <v>32556.5</v>
      </c>
      <c r="J682" s="436">
        <f>J683+J684</f>
        <v>31352.5</v>
      </c>
      <c r="K682" s="475">
        <f t="shared" si="78"/>
        <v>313.52500000000003</v>
      </c>
      <c r="L682" s="475">
        <f t="shared" si="75"/>
        <v>96.3018137699077</v>
      </c>
    </row>
    <row r="683" spans="1:12" ht="24">
      <c r="A683" s="62" t="s">
        <v>365</v>
      </c>
      <c r="B683" s="52" t="s">
        <v>673</v>
      </c>
      <c r="C683" s="74" t="s">
        <v>792</v>
      </c>
      <c r="D683" s="74" t="s">
        <v>1105</v>
      </c>
      <c r="E683" s="74" t="s">
        <v>364</v>
      </c>
      <c r="F683" s="74" t="s">
        <v>809</v>
      </c>
      <c r="G683" s="437">
        <f>10000</f>
        <v>10000</v>
      </c>
      <c r="H683" s="437">
        <f>10000-275.4+704</f>
        <v>10428.6</v>
      </c>
      <c r="J683" s="437">
        <v>9224.6</v>
      </c>
      <c r="K683" s="475">
        <f t="shared" si="78"/>
        <v>92.24600000000001</v>
      </c>
      <c r="L683" s="475">
        <f t="shared" si="75"/>
        <v>88.45482615116123</v>
      </c>
    </row>
    <row r="684" spans="1:12" ht="24">
      <c r="A684" s="62" t="s">
        <v>269</v>
      </c>
      <c r="B684" s="52" t="s">
        <v>673</v>
      </c>
      <c r="C684" s="74" t="s">
        <v>792</v>
      </c>
      <c r="D684" s="74" t="s">
        <v>1105</v>
      </c>
      <c r="E684" s="74" t="s">
        <v>364</v>
      </c>
      <c r="F684" s="74" t="s">
        <v>809</v>
      </c>
      <c r="G684" s="437">
        <v>0</v>
      </c>
      <c r="H684" s="437">
        <v>22127.9</v>
      </c>
      <c r="J684" s="437">
        <v>22127.9</v>
      </c>
      <c r="K684" s="475">
        <v>0</v>
      </c>
      <c r="L684" s="475">
        <f t="shared" si="75"/>
        <v>100</v>
      </c>
    </row>
    <row r="685" spans="1:12" ht="33" customHeight="1">
      <c r="A685" s="62" t="s">
        <v>270</v>
      </c>
      <c r="B685" s="52" t="s">
        <v>673</v>
      </c>
      <c r="C685" s="55" t="s">
        <v>792</v>
      </c>
      <c r="D685" s="55" t="s">
        <v>1105</v>
      </c>
      <c r="E685" s="55" t="s">
        <v>271</v>
      </c>
      <c r="F685" s="74" t="s">
        <v>920</v>
      </c>
      <c r="G685" s="436">
        <f>G686</f>
        <v>38000</v>
      </c>
      <c r="H685" s="436">
        <f>H686</f>
        <v>32491.1</v>
      </c>
      <c r="J685" s="436">
        <f>J686</f>
        <v>32355.4</v>
      </c>
      <c r="K685" s="475">
        <f aca="true" t="shared" si="79" ref="K685:K691">J685/G685*100</f>
        <v>85.14578947368422</v>
      </c>
      <c r="L685" s="475">
        <f t="shared" si="75"/>
        <v>99.58234716583927</v>
      </c>
    </row>
    <row r="686" spans="1:12" ht="24">
      <c r="A686" s="206" t="s">
        <v>68</v>
      </c>
      <c r="B686" s="52" t="s">
        <v>673</v>
      </c>
      <c r="C686" s="55" t="s">
        <v>792</v>
      </c>
      <c r="D686" s="55" t="s">
        <v>1105</v>
      </c>
      <c r="E686" s="55" t="s">
        <v>271</v>
      </c>
      <c r="F686" s="74" t="s">
        <v>528</v>
      </c>
      <c r="G686" s="436">
        <f>G687</f>
        <v>38000</v>
      </c>
      <c r="H686" s="436">
        <f>H687</f>
        <v>32491.1</v>
      </c>
      <c r="J686" s="436">
        <f>J687</f>
        <v>32355.4</v>
      </c>
      <c r="K686" s="475">
        <f t="shared" si="79"/>
        <v>85.14578947368422</v>
      </c>
      <c r="L686" s="475">
        <f t="shared" si="75"/>
        <v>99.58234716583927</v>
      </c>
    </row>
    <row r="687" spans="1:12" ht="15">
      <c r="A687" s="206" t="s">
        <v>69</v>
      </c>
      <c r="B687" s="52" t="s">
        <v>673</v>
      </c>
      <c r="C687" s="55" t="s">
        <v>792</v>
      </c>
      <c r="D687" s="55" t="s">
        <v>1105</v>
      </c>
      <c r="E687" s="55" t="s">
        <v>271</v>
      </c>
      <c r="F687" s="74" t="s">
        <v>1486</v>
      </c>
      <c r="G687" s="437">
        <f>38000</f>
        <v>38000</v>
      </c>
      <c r="H687" s="437">
        <f>38000-5508.9</f>
        <v>32491.1</v>
      </c>
      <c r="J687" s="437">
        <v>32355.4</v>
      </c>
      <c r="K687" s="475">
        <f t="shared" si="79"/>
        <v>85.14578947368422</v>
      </c>
      <c r="L687" s="475">
        <f t="shared" si="75"/>
        <v>99.58234716583927</v>
      </c>
    </row>
    <row r="688" spans="1:12" ht="18" customHeight="1">
      <c r="A688" s="56" t="s">
        <v>66</v>
      </c>
      <c r="B688" s="52" t="s">
        <v>673</v>
      </c>
      <c r="C688" s="55" t="s">
        <v>792</v>
      </c>
      <c r="D688" s="55" t="s">
        <v>1105</v>
      </c>
      <c r="E688" s="55" t="s">
        <v>718</v>
      </c>
      <c r="F688" s="74"/>
      <c r="G688" s="436">
        <f aca="true" t="shared" si="80" ref="G688:H690">G689</f>
        <v>8430</v>
      </c>
      <c r="H688" s="436">
        <f t="shared" si="80"/>
        <v>27048.5</v>
      </c>
      <c r="J688" s="436">
        <f>J689</f>
        <v>25956.6</v>
      </c>
      <c r="K688" s="475">
        <f t="shared" si="79"/>
        <v>307.9074733096085</v>
      </c>
      <c r="L688" s="475">
        <f t="shared" si="75"/>
        <v>95.96317725567036</v>
      </c>
    </row>
    <row r="689" spans="1:12" ht="69" customHeight="1">
      <c r="A689" s="62" t="s">
        <v>152</v>
      </c>
      <c r="B689" s="52" t="s">
        <v>673</v>
      </c>
      <c r="C689" s="55" t="s">
        <v>792</v>
      </c>
      <c r="D689" s="55" t="s">
        <v>1105</v>
      </c>
      <c r="E689" s="55" t="s">
        <v>153</v>
      </c>
      <c r="F689" s="74"/>
      <c r="G689" s="436">
        <f t="shared" si="80"/>
        <v>8430</v>
      </c>
      <c r="H689" s="436">
        <f t="shared" si="80"/>
        <v>27048.5</v>
      </c>
      <c r="J689" s="436">
        <f>J690</f>
        <v>25956.6</v>
      </c>
      <c r="K689" s="475">
        <f t="shared" si="79"/>
        <v>307.9074733096085</v>
      </c>
      <c r="L689" s="475">
        <f t="shared" si="75"/>
        <v>95.96317725567036</v>
      </c>
    </row>
    <row r="690" spans="1:12" ht="21" customHeight="1">
      <c r="A690" s="206" t="s">
        <v>68</v>
      </c>
      <c r="B690" s="52" t="s">
        <v>673</v>
      </c>
      <c r="C690" s="55" t="s">
        <v>792</v>
      </c>
      <c r="D690" s="55" t="s">
        <v>1105</v>
      </c>
      <c r="E690" s="55" t="s">
        <v>272</v>
      </c>
      <c r="F690" s="74" t="s">
        <v>528</v>
      </c>
      <c r="G690" s="436">
        <f t="shared" si="80"/>
        <v>8430</v>
      </c>
      <c r="H690" s="436">
        <f t="shared" si="80"/>
        <v>27048.5</v>
      </c>
      <c r="J690" s="436">
        <f>J691</f>
        <v>25956.6</v>
      </c>
      <c r="K690" s="475">
        <f t="shared" si="79"/>
        <v>307.9074733096085</v>
      </c>
      <c r="L690" s="475">
        <f t="shared" si="75"/>
        <v>95.96317725567036</v>
      </c>
    </row>
    <row r="691" spans="1:12" ht="20.25" customHeight="1">
      <c r="A691" s="206" t="s">
        <v>710</v>
      </c>
      <c r="B691" s="52" t="s">
        <v>673</v>
      </c>
      <c r="C691" s="55" t="s">
        <v>792</v>
      </c>
      <c r="D691" s="55" t="s">
        <v>1105</v>
      </c>
      <c r="E691" s="55" t="s">
        <v>272</v>
      </c>
      <c r="F691" s="74" t="s">
        <v>1486</v>
      </c>
      <c r="G691" s="437">
        <v>8430</v>
      </c>
      <c r="H691" s="437">
        <f>9679.3+4592.3+6888.4+1174+6888.4+0.1-1174-1000</f>
        <v>27048.5</v>
      </c>
      <c r="J691" s="437">
        <v>25956.6</v>
      </c>
      <c r="K691" s="475">
        <f t="shared" si="79"/>
        <v>307.9074733096085</v>
      </c>
      <c r="L691" s="475">
        <f t="shared" si="75"/>
        <v>95.96317725567036</v>
      </c>
    </row>
    <row r="692" spans="1:12" ht="23.25" customHeight="1">
      <c r="A692" s="78" t="s">
        <v>1084</v>
      </c>
      <c r="B692" s="52" t="s">
        <v>673</v>
      </c>
      <c r="C692" s="55" t="s">
        <v>792</v>
      </c>
      <c r="D692" s="55" t="s">
        <v>1106</v>
      </c>
      <c r="E692" s="55"/>
      <c r="F692" s="55"/>
      <c r="G692" s="436">
        <f>G693</f>
        <v>37376</v>
      </c>
      <c r="H692" s="436">
        <f>H693</f>
        <v>256721.69999999998</v>
      </c>
      <c r="J692" s="436">
        <f>J693</f>
        <v>165868.99999999997</v>
      </c>
      <c r="K692" s="460">
        <f>J692/G692*100</f>
        <v>443.78478167808214</v>
      </c>
      <c r="L692" s="460">
        <f aca="true" t="shared" si="81" ref="L692:L722">J692/H692*100</f>
        <v>64.61043223069962</v>
      </c>
    </row>
    <row r="693" spans="1:12" ht="24.75" customHeight="1">
      <c r="A693" s="63" t="s">
        <v>351</v>
      </c>
      <c r="B693" s="52" t="s">
        <v>673</v>
      </c>
      <c r="C693" s="55" t="s">
        <v>792</v>
      </c>
      <c r="D693" s="55" t="s">
        <v>1106</v>
      </c>
      <c r="E693" s="55" t="s">
        <v>1032</v>
      </c>
      <c r="F693" s="55"/>
      <c r="G693" s="436">
        <f>G694+G708</f>
        <v>37376</v>
      </c>
      <c r="H693" s="436">
        <f>H694+H708</f>
        <v>256721.69999999998</v>
      </c>
      <c r="J693" s="436">
        <f>J694+J708</f>
        <v>165868.99999999997</v>
      </c>
      <c r="K693" s="460">
        <f>J693/G693*100</f>
        <v>443.78478167808214</v>
      </c>
      <c r="L693" s="460">
        <f t="shared" si="81"/>
        <v>64.61043223069962</v>
      </c>
    </row>
    <row r="694" spans="1:12" ht="27.75" customHeight="1">
      <c r="A694" s="57" t="s">
        <v>273</v>
      </c>
      <c r="B694" s="52" t="s">
        <v>673</v>
      </c>
      <c r="C694" s="55" t="s">
        <v>792</v>
      </c>
      <c r="D694" s="55" t="s">
        <v>1106</v>
      </c>
      <c r="E694" s="55" t="s">
        <v>274</v>
      </c>
      <c r="F694" s="55" t="s">
        <v>920</v>
      </c>
      <c r="G694" s="436">
        <f>G695+G697+G707</f>
        <v>37376</v>
      </c>
      <c r="H694" s="436">
        <f>H695+H697+H707</f>
        <v>246864.3</v>
      </c>
      <c r="J694" s="436">
        <f>J695+J697+J707</f>
        <v>156011.59999999998</v>
      </c>
      <c r="K694" s="475">
        <f>J694/G694*100</f>
        <v>417.4111729452054</v>
      </c>
      <c r="L694" s="475">
        <f t="shared" si="81"/>
        <v>63.19731123536291</v>
      </c>
    </row>
    <row r="695" spans="1:12" ht="19.5" customHeight="1">
      <c r="A695" s="206" t="s">
        <v>793</v>
      </c>
      <c r="B695" s="52" t="s">
        <v>673</v>
      </c>
      <c r="C695" s="55" t="s">
        <v>792</v>
      </c>
      <c r="D695" s="55" t="s">
        <v>1106</v>
      </c>
      <c r="E695" s="74" t="s">
        <v>275</v>
      </c>
      <c r="F695" s="55" t="s">
        <v>794</v>
      </c>
      <c r="G695" s="436">
        <f>G696</f>
        <v>37376</v>
      </c>
      <c r="H695" s="436">
        <f>H696</f>
        <v>37376</v>
      </c>
      <c r="J695" s="436">
        <f>J696</f>
        <v>37376</v>
      </c>
      <c r="K695" s="475">
        <f>J695/G695*100</f>
        <v>100</v>
      </c>
      <c r="L695" s="475">
        <f t="shared" si="81"/>
        <v>100</v>
      </c>
    </row>
    <row r="696" spans="1:12" ht="28.5" customHeight="1">
      <c r="A696" s="62" t="s">
        <v>276</v>
      </c>
      <c r="B696" s="52" t="s">
        <v>673</v>
      </c>
      <c r="C696" s="55" t="s">
        <v>792</v>
      </c>
      <c r="D696" s="55" t="s">
        <v>1106</v>
      </c>
      <c r="E696" s="74" t="s">
        <v>275</v>
      </c>
      <c r="F696" s="55" t="s">
        <v>809</v>
      </c>
      <c r="G696" s="437">
        <f>37376</f>
        <v>37376</v>
      </c>
      <c r="H696" s="437">
        <f>37376</f>
        <v>37376</v>
      </c>
      <c r="J696" s="437">
        <f>37376</f>
        <v>37376</v>
      </c>
      <c r="K696" s="475">
        <f>J696/G696*100</f>
        <v>100</v>
      </c>
      <c r="L696" s="475">
        <f t="shared" si="81"/>
        <v>100</v>
      </c>
    </row>
    <row r="697" spans="1:12" ht="35.25" customHeight="1">
      <c r="A697" s="62" t="s">
        <v>154</v>
      </c>
      <c r="B697" s="52" t="s">
        <v>673</v>
      </c>
      <c r="C697" s="55" t="s">
        <v>792</v>
      </c>
      <c r="D697" s="55" t="s">
        <v>1106</v>
      </c>
      <c r="E697" s="74" t="s">
        <v>277</v>
      </c>
      <c r="F697" s="55" t="s">
        <v>552</v>
      </c>
      <c r="G697" s="436">
        <f>G698</f>
        <v>0</v>
      </c>
      <c r="H697" s="436">
        <f>H698</f>
        <v>205975.4</v>
      </c>
      <c r="J697" s="436">
        <f>J698</f>
        <v>116171.19999999998</v>
      </c>
      <c r="K697" s="475">
        <v>0</v>
      </c>
      <c r="L697" s="475">
        <f t="shared" si="81"/>
        <v>56.400521615688085</v>
      </c>
    </row>
    <row r="698" spans="1:12" ht="42" customHeight="1">
      <c r="A698" s="62" t="s">
        <v>278</v>
      </c>
      <c r="B698" s="52" t="s">
        <v>673</v>
      </c>
      <c r="C698" s="55" t="s">
        <v>792</v>
      </c>
      <c r="D698" s="55" t="s">
        <v>1106</v>
      </c>
      <c r="E698" s="74" t="s">
        <v>277</v>
      </c>
      <c r="F698" s="55" t="s">
        <v>155</v>
      </c>
      <c r="G698" s="436">
        <f>G699+G700+G701+G702+G703+G704+G705+G706</f>
        <v>0</v>
      </c>
      <c r="H698" s="436">
        <f>H699+H700+H701+H702+H703+H704+H705+H706</f>
        <v>205975.4</v>
      </c>
      <c r="J698" s="436">
        <f>J699+J700+J701+J702+J703+J704+J705+J706</f>
        <v>116171.19999999998</v>
      </c>
      <c r="K698" s="475">
        <v>0</v>
      </c>
      <c r="L698" s="475">
        <f t="shared" si="81"/>
        <v>56.400521615688085</v>
      </c>
    </row>
    <row r="699" spans="1:12" ht="24.75" customHeight="1">
      <c r="A699" s="62" t="s">
        <v>279</v>
      </c>
      <c r="B699" s="52" t="s">
        <v>673</v>
      </c>
      <c r="C699" s="55" t="s">
        <v>792</v>
      </c>
      <c r="D699" s="55" t="s">
        <v>1106</v>
      </c>
      <c r="E699" s="74" t="s">
        <v>277</v>
      </c>
      <c r="F699" s="55" t="s">
        <v>155</v>
      </c>
      <c r="G699" s="437">
        <v>0</v>
      </c>
      <c r="H699" s="437">
        <v>100000</v>
      </c>
      <c r="J699" s="437">
        <v>75299.7</v>
      </c>
      <c r="K699" s="475">
        <v>0</v>
      </c>
      <c r="L699" s="475">
        <f t="shared" si="81"/>
        <v>75.29969999999999</v>
      </c>
    </row>
    <row r="700" spans="1:12" ht="28.5" customHeight="1">
      <c r="A700" s="62" t="s">
        <v>280</v>
      </c>
      <c r="B700" s="52" t="s">
        <v>673</v>
      </c>
      <c r="C700" s="55" t="s">
        <v>792</v>
      </c>
      <c r="D700" s="55" t="s">
        <v>1106</v>
      </c>
      <c r="E700" s="74" t="s">
        <v>277</v>
      </c>
      <c r="F700" s="55" t="s">
        <v>155</v>
      </c>
      <c r="G700" s="437">
        <v>0</v>
      </c>
      <c r="H700" s="437">
        <v>34154</v>
      </c>
      <c r="J700" s="437">
        <v>34153.6</v>
      </c>
      <c r="K700" s="475">
        <v>0</v>
      </c>
      <c r="L700" s="475">
        <f t="shared" si="81"/>
        <v>99.99882883410434</v>
      </c>
    </row>
    <row r="701" spans="1:12" ht="28.5" customHeight="1">
      <c r="A701" s="62" t="s">
        <v>281</v>
      </c>
      <c r="B701" s="52" t="s">
        <v>673</v>
      </c>
      <c r="C701" s="55" t="s">
        <v>792</v>
      </c>
      <c r="D701" s="55" t="s">
        <v>1106</v>
      </c>
      <c r="E701" s="74" t="s">
        <v>277</v>
      </c>
      <c r="F701" s="55" t="s">
        <v>155</v>
      </c>
      <c r="G701" s="437">
        <v>0</v>
      </c>
      <c r="H701" s="437">
        <v>1717.9</v>
      </c>
      <c r="J701" s="437">
        <v>1717.9</v>
      </c>
      <c r="K701" s="475">
        <v>0</v>
      </c>
      <c r="L701" s="475">
        <f t="shared" si="81"/>
        <v>100</v>
      </c>
    </row>
    <row r="702" spans="1:12" ht="19.5" customHeight="1">
      <c r="A702" s="62" t="s">
        <v>282</v>
      </c>
      <c r="B702" s="52" t="s">
        <v>673</v>
      </c>
      <c r="C702" s="55" t="s">
        <v>792</v>
      </c>
      <c r="D702" s="55" t="s">
        <v>1106</v>
      </c>
      <c r="E702" s="74" t="s">
        <v>277</v>
      </c>
      <c r="F702" s="55" t="s">
        <v>155</v>
      </c>
      <c r="G702" s="437">
        <v>0</v>
      </c>
      <c r="H702" s="437">
        <v>5000</v>
      </c>
      <c r="J702" s="437">
        <v>5000</v>
      </c>
      <c r="K702" s="475">
        <v>0</v>
      </c>
      <c r="L702" s="475">
        <f t="shared" si="81"/>
        <v>100</v>
      </c>
    </row>
    <row r="703" spans="1:12" ht="27.75" customHeight="1">
      <c r="A703" s="62" t="s">
        <v>283</v>
      </c>
      <c r="B703" s="52" t="s">
        <v>673</v>
      </c>
      <c r="C703" s="55" t="s">
        <v>792</v>
      </c>
      <c r="D703" s="55" t="s">
        <v>1106</v>
      </c>
      <c r="E703" s="74" t="s">
        <v>277</v>
      </c>
      <c r="F703" s="55" t="s">
        <v>155</v>
      </c>
      <c r="G703" s="437">
        <v>0</v>
      </c>
      <c r="H703" s="437">
        <v>4173.7</v>
      </c>
      <c r="J703" s="437">
        <v>0</v>
      </c>
      <c r="K703" s="475">
        <v>0</v>
      </c>
      <c r="L703" s="475">
        <f t="shared" si="81"/>
        <v>0</v>
      </c>
    </row>
    <row r="704" spans="1:12" ht="30" customHeight="1">
      <c r="A704" s="62" t="s">
        <v>284</v>
      </c>
      <c r="B704" s="52" t="s">
        <v>673</v>
      </c>
      <c r="C704" s="55" t="s">
        <v>792</v>
      </c>
      <c r="D704" s="55" t="s">
        <v>1106</v>
      </c>
      <c r="E704" s="74" t="s">
        <v>277</v>
      </c>
      <c r="F704" s="55" t="s">
        <v>155</v>
      </c>
      <c r="G704" s="437">
        <v>0</v>
      </c>
      <c r="H704" s="437">
        <v>929.8</v>
      </c>
      <c r="J704" s="437">
        <v>0</v>
      </c>
      <c r="K704" s="475">
        <v>0</v>
      </c>
      <c r="L704" s="475">
        <f t="shared" si="81"/>
        <v>0</v>
      </c>
    </row>
    <row r="705" spans="1:12" ht="30" customHeight="1">
      <c r="A705" s="62" t="s">
        <v>493</v>
      </c>
      <c r="B705" s="52" t="s">
        <v>673</v>
      </c>
      <c r="C705" s="55" t="s">
        <v>792</v>
      </c>
      <c r="D705" s="55" t="s">
        <v>1106</v>
      </c>
      <c r="E705" s="74" t="s">
        <v>277</v>
      </c>
      <c r="F705" s="55" t="s">
        <v>155</v>
      </c>
      <c r="G705" s="437">
        <v>0</v>
      </c>
      <c r="H705" s="437">
        <v>35000</v>
      </c>
      <c r="J705" s="437">
        <v>0</v>
      </c>
      <c r="K705" s="475">
        <v>0</v>
      </c>
      <c r="L705" s="475">
        <f t="shared" si="81"/>
        <v>0</v>
      </c>
    </row>
    <row r="706" spans="1:12" ht="30" customHeight="1">
      <c r="A706" s="62" t="s">
        <v>494</v>
      </c>
      <c r="B706" s="52" t="s">
        <v>673</v>
      </c>
      <c r="C706" s="55" t="s">
        <v>792</v>
      </c>
      <c r="D706" s="55" t="s">
        <v>1106</v>
      </c>
      <c r="E706" s="74" t="s">
        <v>277</v>
      </c>
      <c r="F706" s="55" t="s">
        <v>155</v>
      </c>
      <c r="G706" s="437">
        <v>0</v>
      </c>
      <c r="H706" s="437">
        <v>25000</v>
      </c>
      <c r="J706" s="437">
        <v>0</v>
      </c>
      <c r="K706" s="475">
        <v>0</v>
      </c>
      <c r="L706" s="475">
        <f t="shared" si="81"/>
        <v>0</v>
      </c>
    </row>
    <row r="707" spans="1:12" ht="30" customHeight="1">
      <c r="A707" s="62" t="s">
        <v>495</v>
      </c>
      <c r="B707" s="52" t="s">
        <v>673</v>
      </c>
      <c r="C707" s="55" t="s">
        <v>792</v>
      </c>
      <c r="D707" s="55" t="s">
        <v>1106</v>
      </c>
      <c r="E707" s="74" t="s">
        <v>496</v>
      </c>
      <c r="F707" s="55" t="s">
        <v>1486</v>
      </c>
      <c r="G707" s="437">
        <v>0</v>
      </c>
      <c r="H707" s="437">
        <v>3512.9</v>
      </c>
      <c r="J707" s="437">
        <v>2464.4</v>
      </c>
      <c r="K707" s="475">
        <v>0</v>
      </c>
      <c r="L707" s="475">
        <f t="shared" si="81"/>
        <v>70.15286515414616</v>
      </c>
    </row>
    <row r="708" spans="1:12" ht="30" customHeight="1">
      <c r="A708" s="62" t="s">
        <v>497</v>
      </c>
      <c r="B708" s="52" t="s">
        <v>673</v>
      </c>
      <c r="C708" s="55" t="s">
        <v>792</v>
      </c>
      <c r="D708" s="55" t="s">
        <v>1106</v>
      </c>
      <c r="E708" s="74" t="s">
        <v>498</v>
      </c>
      <c r="F708" s="55" t="s">
        <v>920</v>
      </c>
      <c r="G708" s="436">
        <f>G709</f>
        <v>0</v>
      </c>
      <c r="H708" s="436">
        <f>H709</f>
        <v>9857.4</v>
      </c>
      <c r="J708" s="436">
        <f>J709</f>
        <v>9857.4</v>
      </c>
      <c r="K708" s="475">
        <v>0</v>
      </c>
      <c r="L708" s="475">
        <f t="shared" si="81"/>
        <v>100</v>
      </c>
    </row>
    <row r="709" spans="1:12" ht="30" customHeight="1">
      <c r="A709" s="206" t="s">
        <v>68</v>
      </c>
      <c r="B709" s="52" t="s">
        <v>673</v>
      </c>
      <c r="C709" s="55" t="s">
        <v>792</v>
      </c>
      <c r="D709" s="55" t="s">
        <v>1106</v>
      </c>
      <c r="E709" s="74" t="s">
        <v>498</v>
      </c>
      <c r="F709" s="55" t="s">
        <v>528</v>
      </c>
      <c r="G709" s="436">
        <f>G710</f>
        <v>0</v>
      </c>
      <c r="H709" s="436">
        <f>H710</f>
        <v>9857.4</v>
      </c>
      <c r="J709" s="436">
        <f>J710</f>
        <v>9857.4</v>
      </c>
      <c r="K709" s="475">
        <v>0</v>
      </c>
      <c r="L709" s="475">
        <f t="shared" si="81"/>
        <v>100</v>
      </c>
    </row>
    <row r="710" spans="1:12" ht="30" customHeight="1">
      <c r="A710" s="206" t="s">
        <v>69</v>
      </c>
      <c r="B710" s="52" t="s">
        <v>673</v>
      </c>
      <c r="C710" s="55" t="s">
        <v>792</v>
      </c>
      <c r="D710" s="55" t="s">
        <v>1106</v>
      </c>
      <c r="E710" s="74" t="s">
        <v>498</v>
      </c>
      <c r="F710" s="55" t="s">
        <v>1486</v>
      </c>
      <c r="G710" s="437">
        <v>0</v>
      </c>
      <c r="H710" s="437">
        <v>9857.4</v>
      </c>
      <c r="J710" s="437">
        <v>9857.4</v>
      </c>
      <c r="K710" s="475">
        <v>0</v>
      </c>
      <c r="L710" s="475">
        <f t="shared" si="81"/>
        <v>100</v>
      </c>
    </row>
    <row r="711" spans="1:12" ht="18" customHeight="1">
      <c r="A711" s="71" t="s">
        <v>1085</v>
      </c>
      <c r="B711" s="52" t="s">
        <v>673</v>
      </c>
      <c r="C711" s="55" t="s">
        <v>792</v>
      </c>
      <c r="D711" s="55" t="s">
        <v>530</v>
      </c>
      <c r="E711" s="74"/>
      <c r="F711" s="55"/>
      <c r="G711" s="436">
        <f>G712+G754</f>
        <v>148320</v>
      </c>
      <c r="H711" s="436">
        <f>H712+H754</f>
        <v>208264.2</v>
      </c>
      <c r="J711" s="436">
        <f>J712+J754</f>
        <v>181919.99999999997</v>
      </c>
      <c r="K711" s="460">
        <f aca="true" t="shared" si="82" ref="K711:K720">J711/G711*100</f>
        <v>122.65372168284787</v>
      </c>
      <c r="L711" s="460">
        <f t="shared" si="81"/>
        <v>87.35058641859713</v>
      </c>
    </row>
    <row r="712" spans="1:12" ht="21" customHeight="1">
      <c r="A712" s="56" t="s">
        <v>351</v>
      </c>
      <c r="B712" s="52" t="s">
        <v>673</v>
      </c>
      <c r="C712" s="55" t="s">
        <v>792</v>
      </c>
      <c r="D712" s="55" t="s">
        <v>530</v>
      </c>
      <c r="E712" s="55" t="s">
        <v>1032</v>
      </c>
      <c r="F712" s="55"/>
      <c r="G712" s="436">
        <f>G713+G717+G729+G734+G738</f>
        <v>148320</v>
      </c>
      <c r="H712" s="436">
        <f>H713+H717+H729+H734+H738</f>
        <v>204714.2</v>
      </c>
      <c r="J712" s="436">
        <f>J713+J717+J729+J734+J738</f>
        <v>178873.19999999998</v>
      </c>
      <c r="K712" s="475">
        <f t="shared" si="82"/>
        <v>120.59951456310678</v>
      </c>
      <c r="L712" s="475">
        <f t="shared" si="81"/>
        <v>87.37703588710504</v>
      </c>
    </row>
    <row r="713" spans="1:12" ht="36.75" customHeight="1">
      <c r="A713" s="73" t="s">
        <v>362</v>
      </c>
      <c r="B713" s="52" t="s">
        <v>673</v>
      </c>
      <c r="C713" s="55" t="s">
        <v>792</v>
      </c>
      <c r="D713" s="55" t="s">
        <v>530</v>
      </c>
      <c r="E713" s="55" t="s">
        <v>363</v>
      </c>
      <c r="F713" s="55"/>
      <c r="G713" s="436">
        <f aca="true" t="shared" si="83" ref="G713:H715">G714</f>
        <v>2000</v>
      </c>
      <c r="H713" s="436">
        <f t="shared" si="83"/>
        <v>2802.5</v>
      </c>
      <c r="J713" s="436">
        <f>J714</f>
        <v>2771.2</v>
      </c>
      <c r="K713" s="475">
        <f t="shared" si="82"/>
        <v>138.56</v>
      </c>
      <c r="L713" s="475">
        <f t="shared" si="81"/>
        <v>98.88314005352363</v>
      </c>
    </row>
    <row r="714" spans="1:12" ht="24">
      <c r="A714" s="64" t="s">
        <v>1183</v>
      </c>
      <c r="B714" s="52" t="s">
        <v>673</v>
      </c>
      <c r="C714" s="55" t="s">
        <v>792</v>
      </c>
      <c r="D714" s="55" t="s">
        <v>530</v>
      </c>
      <c r="E714" s="55" t="s">
        <v>499</v>
      </c>
      <c r="F714" s="55" t="s">
        <v>920</v>
      </c>
      <c r="G714" s="436">
        <f t="shared" si="83"/>
        <v>2000</v>
      </c>
      <c r="H714" s="436">
        <f t="shared" si="83"/>
        <v>2802.5</v>
      </c>
      <c r="J714" s="436">
        <f>J715</f>
        <v>2771.2</v>
      </c>
      <c r="K714" s="475">
        <f t="shared" si="82"/>
        <v>138.56</v>
      </c>
      <c r="L714" s="475">
        <f t="shared" si="81"/>
        <v>98.88314005352363</v>
      </c>
    </row>
    <row r="715" spans="1:12" ht="24">
      <c r="A715" s="206" t="s">
        <v>68</v>
      </c>
      <c r="B715" s="52" t="s">
        <v>673</v>
      </c>
      <c r="C715" s="55" t="s">
        <v>792</v>
      </c>
      <c r="D715" s="55" t="s">
        <v>530</v>
      </c>
      <c r="E715" s="55" t="s">
        <v>499</v>
      </c>
      <c r="F715" s="55" t="s">
        <v>528</v>
      </c>
      <c r="G715" s="436">
        <f t="shared" si="83"/>
        <v>2000</v>
      </c>
      <c r="H715" s="436">
        <f t="shared" si="83"/>
        <v>2802.5</v>
      </c>
      <c r="J715" s="436">
        <f>J716</f>
        <v>2771.2</v>
      </c>
      <c r="K715" s="475">
        <f t="shared" si="82"/>
        <v>138.56</v>
      </c>
      <c r="L715" s="475">
        <f t="shared" si="81"/>
        <v>98.88314005352363</v>
      </c>
    </row>
    <row r="716" spans="1:12" ht="24">
      <c r="A716" s="206" t="s">
        <v>710</v>
      </c>
      <c r="B716" s="52" t="s">
        <v>673</v>
      </c>
      <c r="C716" s="55" t="s">
        <v>792</v>
      </c>
      <c r="D716" s="55" t="s">
        <v>530</v>
      </c>
      <c r="E716" s="55" t="s">
        <v>499</v>
      </c>
      <c r="F716" s="55" t="s">
        <v>1486</v>
      </c>
      <c r="G716" s="437">
        <f>2000</f>
        <v>2000</v>
      </c>
      <c r="H716" s="437">
        <f>2000+1231.1-428.6</f>
        <v>2802.5</v>
      </c>
      <c r="J716" s="437">
        <v>2771.2</v>
      </c>
      <c r="K716" s="475">
        <f t="shared" si="82"/>
        <v>138.56</v>
      </c>
      <c r="L716" s="475">
        <f t="shared" si="81"/>
        <v>98.88314005352363</v>
      </c>
    </row>
    <row r="717" spans="1:12" ht="30" customHeight="1">
      <c r="A717" s="62" t="s">
        <v>1033</v>
      </c>
      <c r="B717" s="52" t="s">
        <v>673</v>
      </c>
      <c r="C717" s="55" t="s">
        <v>792</v>
      </c>
      <c r="D717" s="55" t="s">
        <v>530</v>
      </c>
      <c r="E717" s="55" t="s">
        <v>1034</v>
      </c>
      <c r="F717" s="55"/>
      <c r="G717" s="436">
        <f>G718</f>
        <v>85000</v>
      </c>
      <c r="H717" s="436">
        <f>H718</f>
        <v>103952.7</v>
      </c>
      <c r="J717" s="436">
        <f>J718</f>
        <v>95666.79999999999</v>
      </c>
      <c r="K717" s="460">
        <f t="shared" si="82"/>
        <v>112.54917647058822</v>
      </c>
      <c r="L717" s="460">
        <f t="shared" si="81"/>
        <v>92.02916326367664</v>
      </c>
    </row>
    <row r="718" spans="1:12" ht="18.75" customHeight="1">
      <c r="A718" s="57" t="s">
        <v>1465</v>
      </c>
      <c r="B718" s="52" t="s">
        <v>673</v>
      </c>
      <c r="C718" s="55" t="s">
        <v>792</v>
      </c>
      <c r="D718" s="55" t="s">
        <v>530</v>
      </c>
      <c r="E718" s="55" t="s">
        <v>500</v>
      </c>
      <c r="F718" s="55" t="s">
        <v>920</v>
      </c>
      <c r="G718" s="436">
        <f>G719+G721</f>
        <v>85000</v>
      </c>
      <c r="H718" s="436">
        <f>H719+H721</f>
        <v>103952.7</v>
      </c>
      <c r="J718" s="436">
        <f>J719+J721</f>
        <v>95666.79999999999</v>
      </c>
      <c r="K718" s="475">
        <f t="shared" si="82"/>
        <v>112.54917647058822</v>
      </c>
      <c r="L718" s="475">
        <f t="shared" si="81"/>
        <v>92.02916326367664</v>
      </c>
    </row>
    <row r="719" spans="1:12" ht="18.75" customHeight="1">
      <c r="A719" s="206" t="s">
        <v>68</v>
      </c>
      <c r="B719" s="52" t="s">
        <v>673</v>
      </c>
      <c r="C719" s="55" t="s">
        <v>792</v>
      </c>
      <c r="D719" s="55" t="s">
        <v>530</v>
      </c>
      <c r="E719" s="55" t="s">
        <v>500</v>
      </c>
      <c r="F719" s="55" t="s">
        <v>528</v>
      </c>
      <c r="G719" s="436">
        <f>G720</f>
        <v>85000</v>
      </c>
      <c r="H719" s="436">
        <f>H720</f>
        <v>85000</v>
      </c>
      <c r="J719" s="436">
        <f>J720</f>
        <v>78689.9</v>
      </c>
      <c r="K719" s="475">
        <f t="shared" si="82"/>
        <v>92.57635294117647</v>
      </c>
      <c r="L719" s="475">
        <f t="shared" si="81"/>
        <v>92.57635294117647</v>
      </c>
    </row>
    <row r="720" spans="1:12" ht="18.75" customHeight="1">
      <c r="A720" s="206" t="s">
        <v>710</v>
      </c>
      <c r="B720" s="52" t="s">
        <v>673</v>
      </c>
      <c r="C720" s="55" t="s">
        <v>792</v>
      </c>
      <c r="D720" s="55" t="s">
        <v>530</v>
      </c>
      <c r="E720" s="55" t="s">
        <v>500</v>
      </c>
      <c r="F720" s="55" t="s">
        <v>1486</v>
      </c>
      <c r="G720" s="437">
        <v>85000</v>
      </c>
      <c r="H720" s="437">
        <v>85000</v>
      </c>
      <c r="J720" s="437">
        <v>78689.9</v>
      </c>
      <c r="K720" s="475">
        <f t="shared" si="82"/>
        <v>92.57635294117647</v>
      </c>
      <c r="L720" s="475">
        <f t="shared" si="81"/>
        <v>92.57635294117647</v>
      </c>
    </row>
    <row r="721" spans="1:12" ht="24">
      <c r="A721" s="62" t="s">
        <v>154</v>
      </c>
      <c r="B721" s="52" t="s">
        <v>673</v>
      </c>
      <c r="C721" s="55" t="s">
        <v>792</v>
      </c>
      <c r="D721" s="55" t="s">
        <v>530</v>
      </c>
      <c r="E721" s="55" t="s">
        <v>500</v>
      </c>
      <c r="F721" s="55" t="s">
        <v>552</v>
      </c>
      <c r="G721" s="436">
        <f>G722</f>
        <v>0</v>
      </c>
      <c r="H721" s="436">
        <f>H722</f>
        <v>18952.7</v>
      </c>
      <c r="J721" s="436">
        <f>J722</f>
        <v>16976.9</v>
      </c>
      <c r="K721" s="475">
        <v>0</v>
      </c>
      <c r="L721" s="475">
        <f t="shared" si="81"/>
        <v>89.57510011766135</v>
      </c>
    </row>
    <row r="722" spans="1:12" ht="36">
      <c r="A722" s="62" t="s">
        <v>278</v>
      </c>
      <c r="B722" s="52" t="s">
        <v>673</v>
      </c>
      <c r="C722" s="55" t="s">
        <v>792</v>
      </c>
      <c r="D722" s="55" t="s">
        <v>530</v>
      </c>
      <c r="E722" s="55" t="s">
        <v>500</v>
      </c>
      <c r="F722" s="55" t="s">
        <v>155</v>
      </c>
      <c r="G722" s="436">
        <f>G723+G724+G725+G726+G727+G728</f>
        <v>0</v>
      </c>
      <c r="H722" s="436">
        <f>H723+H724+H725+H726+H727+H728</f>
        <v>18952.7</v>
      </c>
      <c r="I722" s="436">
        <f>I723+I724+I725+I726+I727+I728</f>
        <v>0</v>
      </c>
      <c r="J722" s="436">
        <f>J723+J724+J725+J726+J727+J728</f>
        <v>16976.9</v>
      </c>
      <c r="K722" s="475">
        <v>0</v>
      </c>
      <c r="L722" s="475">
        <f t="shared" si="81"/>
        <v>89.57510011766135</v>
      </c>
    </row>
    <row r="723" spans="1:12" ht="36">
      <c r="A723" s="62" t="s">
        <v>501</v>
      </c>
      <c r="B723" s="52" t="s">
        <v>673</v>
      </c>
      <c r="C723" s="55" t="s">
        <v>792</v>
      </c>
      <c r="D723" s="55" t="s">
        <v>530</v>
      </c>
      <c r="E723" s="55" t="s">
        <v>500</v>
      </c>
      <c r="F723" s="55" t="s">
        <v>155</v>
      </c>
      <c r="G723" s="437">
        <v>0</v>
      </c>
      <c r="H723" s="437">
        <f>10519.6-0.1</f>
        <v>10519.5</v>
      </c>
      <c r="J723" s="437">
        <v>9386.7</v>
      </c>
      <c r="K723" s="475">
        <v>0</v>
      </c>
      <c r="L723" s="475">
        <f aca="true" t="shared" si="84" ref="L723:L751">J723/H723*100</f>
        <v>89.23142734920862</v>
      </c>
    </row>
    <row r="724" spans="1:12" ht="24">
      <c r="A724" s="62" t="s">
        <v>502</v>
      </c>
      <c r="B724" s="52" t="s">
        <v>673</v>
      </c>
      <c r="C724" s="55" t="s">
        <v>792</v>
      </c>
      <c r="D724" s="55" t="s">
        <v>530</v>
      </c>
      <c r="E724" s="55" t="s">
        <v>500</v>
      </c>
      <c r="F724" s="55" t="s">
        <v>155</v>
      </c>
      <c r="G724" s="437">
        <v>0</v>
      </c>
      <c r="H724" s="437">
        <v>238.1</v>
      </c>
      <c r="J724" s="437">
        <v>238.1</v>
      </c>
      <c r="K724" s="475">
        <v>0</v>
      </c>
      <c r="L724" s="475">
        <f t="shared" si="84"/>
        <v>100</v>
      </c>
    </row>
    <row r="725" spans="1:12" ht="24">
      <c r="A725" s="62" t="s">
        <v>503</v>
      </c>
      <c r="B725" s="52" t="s">
        <v>673</v>
      </c>
      <c r="C725" s="55" t="s">
        <v>792</v>
      </c>
      <c r="D725" s="55" t="s">
        <v>530</v>
      </c>
      <c r="E725" s="55" t="s">
        <v>500</v>
      </c>
      <c r="F725" s="55" t="s">
        <v>155</v>
      </c>
      <c r="G725" s="437">
        <v>0</v>
      </c>
      <c r="H725" s="437">
        <v>205.1</v>
      </c>
      <c r="J725" s="437">
        <v>205.1</v>
      </c>
      <c r="K725" s="475">
        <v>0</v>
      </c>
      <c r="L725" s="475">
        <f t="shared" si="84"/>
        <v>100</v>
      </c>
    </row>
    <row r="726" spans="1:12" ht="42" customHeight="1">
      <c r="A726" s="206" t="s">
        <v>504</v>
      </c>
      <c r="B726" s="52" t="s">
        <v>673</v>
      </c>
      <c r="C726" s="55" t="s">
        <v>792</v>
      </c>
      <c r="D726" s="55" t="s">
        <v>530</v>
      </c>
      <c r="E726" s="55" t="s">
        <v>500</v>
      </c>
      <c r="F726" s="55" t="s">
        <v>155</v>
      </c>
      <c r="G726" s="437">
        <v>0</v>
      </c>
      <c r="H726" s="437">
        <v>294.4</v>
      </c>
      <c r="J726" s="437">
        <v>294.4</v>
      </c>
      <c r="K726" s="475">
        <v>0</v>
      </c>
      <c r="L726" s="475">
        <f t="shared" si="84"/>
        <v>100</v>
      </c>
    </row>
    <row r="727" spans="1:12" ht="24">
      <c r="A727" s="206" t="s">
        <v>505</v>
      </c>
      <c r="B727" s="52" t="s">
        <v>673</v>
      </c>
      <c r="C727" s="55" t="s">
        <v>792</v>
      </c>
      <c r="D727" s="55" t="s">
        <v>530</v>
      </c>
      <c r="E727" s="55" t="s">
        <v>500</v>
      </c>
      <c r="F727" s="55" t="s">
        <v>155</v>
      </c>
      <c r="G727" s="437">
        <v>0</v>
      </c>
      <c r="H727" s="437">
        <v>1901</v>
      </c>
      <c r="J727" s="437">
        <v>1841.3</v>
      </c>
      <c r="K727" s="475">
        <v>0</v>
      </c>
      <c r="L727" s="475">
        <f t="shared" si="84"/>
        <v>96.85954760652288</v>
      </c>
    </row>
    <row r="728" spans="1:12" ht="24.75" customHeight="1">
      <c r="A728" s="206" t="s">
        <v>506</v>
      </c>
      <c r="B728" s="52" t="s">
        <v>673</v>
      </c>
      <c r="C728" s="55" t="s">
        <v>792</v>
      </c>
      <c r="D728" s="55" t="s">
        <v>530</v>
      </c>
      <c r="E728" s="55" t="s">
        <v>500</v>
      </c>
      <c r="F728" s="55" t="s">
        <v>155</v>
      </c>
      <c r="G728" s="437">
        <v>0</v>
      </c>
      <c r="H728" s="437">
        <f>3392.5+2402.1-0.1+0.1</f>
        <v>5794.6</v>
      </c>
      <c r="J728" s="437">
        <v>5011.3</v>
      </c>
      <c r="K728" s="475">
        <v>0</v>
      </c>
      <c r="L728" s="475">
        <f t="shared" si="84"/>
        <v>86.48224208746073</v>
      </c>
    </row>
    <row r="729" spans="1:12" ht="33.75" customHeight="1">
      <c r="A729" s="62" t="s">
        <v>675</v>
      </c>
      <c r="B729" s="52" t="s">
        <v>673</v>
      </c>
      <c r="C729" s="55" t="s">
        <v>792</v>
      </c>
      <c r="D729" s="55" t="s">
        <v>530</v>
      </c>
      <c r="E729" s="55" t="s">
        <v>507</v>
      </c>
      <c r="F729" s="55" t="s">
        <v>920</v>
      </c>
      <c r="G729" s="436">
        <f>G732+G730</f>
        <v>13240</v>
      </c>
      <c r="H729" s="436">
        <f>H732+H730</f>
        <v>11306.800000000001</v>
      </c>
      <c r="J729" s="436">
        <f>J732+J730</f>
        <v>11287.500000000002</v>
      </c>
      <c r="K729" s="475">
        <f>J729/G729*100</f>
        <v>85.25302114803627</v>
      </c>
      <c r="L729" s="475">
        <f t="shared" si="84"/>
        <v>99.82930625818092</v>
      </c>
    </row>
    <row r="730" spans="1:12" ht="23.25" customHeight="1">
      <c r="A730" s="206" t="s">
        <v>68</v>
      </c>
      <c r="B730" s="52" t="s">
        <v>673</v>
      </c>
      <c r="C730" s="55" t="s">
        <v>792</v>
      </c>
      <c r="D730" s="55" t="s">
        <v>530</v>
      </c>
      <c r="E730" s="55" t="s">
        <v>507</v>
      </c>
      <c r="F730" s="55" t="s">
        <v>528</v>
      </c>
      <c r="G730" s="436">
        <f>G731</f>
        <v>0</v>
      </c>
      <c r="H730" s="436">
        <f>H731</f>
        <v>1285.9</v>
      </c>
      <c r="J730" s="436">
        <f>J731</f>
        <v>1266.6</v>
      </c>
      <c r="K730" s="475">
        <v>0</v>
      </c>
      <c r="L730" s="475">
        <f t="shared" si="84"/>
        <v>98.49910568473442</v>
      </c>
    </row>
    <row r="731" spans="1:12" ht="22.5" customHeight="1">
      <c r="A731" s="206" t="s">
        <v>710</v>
      </c>
      <c r="B731" s="52" t="s">
        <v>673</v>
      </c>
      <c r="C731" s="55" t="s">
        <v>792</v>
      </c>
      <c r="D731" s="55" t="s">
        <v>530</v>
      </c>
      <c r="E731" s="55" t="s">
        <v>507</v>
      </c>
      <c r="F731" s="55" t="s">
        <v>1486</v>
      </c>
      <c r="G731" s="437">
        <v>0</v>
      </c>
      <c r="H731" s="437">
        <f>631.6+654.3</f>
        <v>1285.9</v>
      </c>
      <c r="J731" s="437">
        <v>1266.6</v>
      </c>
      <c r="K731" s="475">
        <v>0</v>
      </c>
      <c r="L731" s="475">
        <f t="shared" si="84"/>
        <v>98.49910568473442</v>
      </c>
    </row>
    <row r="732" spans="1:12" ht="28.5" customHeight="1">
      <c r="A732" s="62" t="s">
        <v>139</v>
      </c>
      <c r="B732" s="52" t="s">
        <v>673</v>
      </c>
      <c r="C732" s="55" t="s">
        <v>792</v>
      </c>
      <c r="D732" s="55" t="s">
        <v>530</v>
      </c>
      <c r="E732" s="55" t="s">
        <v>507</v>
      </c>
      <c r="F732" s="55" t="s">
        <v>1454</v>
      </c>
      <c r="G732" s="436">
        <f>G733</f>
        <v>13240</v>
      </c>
      <c r="H732" s="436">
        <f>H733</f>
        <v>10020.900000000001</v>
      </c>
      <c r="J732" s="436">
        <f>J733</f>
        <v>10020.900000000001</v>
      </c>
      <c r="K732" s="475">
        <f>J732/G732*100</f>
        <v>75.68655589123868</v>
      </c>
      <c r="L732" s="475">
        <f t="shared" si="84"/>
        <v>100</v>
      </c>
    </row>
    <row r="733" spans="1:12" ht="17.25" customHeight="1">
      <c r="A733" s="57" t="s">
        <v>553</v>
      </c>
      <c r="B733" s="52" t="s">
        <v>673</v>
      </c>
      <c r="C733" s="55" t="s">
        <v>792</v>
      </c>
      <c r="D733" s="55" t="s">
        <v>530</v>
      </c>
      <c r="E733" s="55" t="s">
        <v>507</v>
      </c>
      <c r="F733" s="55" t="s">
        <v>554</v>
      </c>
      <c r="G733" s="437">
        <f>13240</f>
        <v>13240</v>
      </c>
      <c r="H733" s="437">
        <f>13240+1013.2-3900-332.3</f>
        <v>10020.900000000001</v>
      </c>
      <c r="J733" s="437">
        <f>13240+1013.2-3900-332.3</f>
        <v>10020.900000000001</v>
      </c>
      <c r="K733" s="475">
        <f>J733/G733*100</f>
        <v>75.68655589123868</v>
      </c>
      <c r="L733" s="475">
        <f t="shared" si="84"/>
        <v>100</v>
      </c>
    </row>
    <row r="734" spans="1:12" ht="24">
      <c r="A734" s="62" t="s">
        <v>1135</v>
      </c>
      <c r="B734" s="52" t="s">
        <v>673</v>
      </c>
      <c r="C734" s="55" t="s">
        <v>792</v>
      </c>
      <c r="D734" s="55" t="s">
        <v>530</v>
      </c>
      <c r="E734" s="55" t="s">
        <v>508</v>
      </c>
      <c r="F734" s="55" t="s">
        <v>920</v>
      </c>
      <c r="G734" s="436">
        <f>G735</f>
        <v>15000</v>
      </c>
      <c r="H734" s="436">
        <f>H735</f>
        <v>15017.5</v>
      </c>
      <c r="J734" s="436">
        <f>J735</f>
        <v>15010.5</v>
      </c>
      <c r="K734" s="475">
        <f>J734/G734*100</f>
        <v>100.07</v>
      </c>
      <c r="L734" s="475">
        <f t="shared" si="84"/>
        <v>99.95338771433327</v>
      </c>
    </row>
    <row r="735" spans="1:12" ht="24">
      <c r="A735" s="62" t="s">
        <v>139</v>
      </c>
      <c r="B735" s="52" t="s">
        <v>673</v>
      </c>
      <c r="C735" s="55" t="s">
        <v>792</v>
      </c>
      <c r="D735" s="55" t="s">
        <v>530</v>
      </c>
      <c r="E735" s="55" t="s">
        <v>508</v>
      </c>
      <c r="F735" s="55" t="s">
        <v>1454</v>
      </c>
      <c r="G735" s="436">
        <f>G736</f>
        <v>15000</v>
      </c>
      <c r="H735" s="436">
        <f>H736</f>
        <v>15017.5</v>
      </c>
      <c r="J735" s="436">
        <f>J736</f>
        <v>15010.5</v>
      </c>
      <c r="K735" s="475">
        <f>J735/G735*100</f>
        <v>100.07</v>
      </c>
      <c r="L735" s="475">
        <f t="shared" si="84"/>
        <v>99.95338771433327</v>
      </c>
    </row>
    <row r="736" spans="1:12" ht="24">
      <c r="A736" s="57" t="s">
        <v>141</v>
      </c>
      <c r="B736" s="52" t="s">
        <v>673</v>
      </c>
      <c r="C736" s="55" t="s">
        <v>792</v>
      </c>
      <c r="D736" s="55" t="s">
        <v>530</v>
      </c>
      <c r="E736" s="55" t="s">
        <v>508</v>
      </c>
      <c r="F736" s="55" t="s">
        <v>554</v>
      </c>
      <c r="G736" s="437">
        <f>15000+G737</f>
        <v>15000</v>
      </c>
      <c r="H736" s="437">
        <f>15000+H737</f>
        <v>15017.5</v>
      </c>
      <c r="J736" s="437">
        <f>15000+J737</f>
        <v>15010.5</v>
      </c>
      <c r="K736" s="475">
        <f>J736/G736*100</f>
        <v>100.07</v>
      </c>
      <c r="L736" s="475">
        <f t="shared" si="84"/>
        <v>99.95338771433327</v>
      </c>
    </row>
    <row r="737" spans="1:12" ht="156">
      <c r="A737" s="57" t="s">
        <v>509</v>
      </c>
      <c r="B737" s="52" t="s">
        <v>673</v>
      </c>
      <c r="C737" s="55" t="s">
        <v>792</v>
      </c>
      <c r="D737" s="55" t="s">
        <v>530</v>
      </c>
      <c r="E737" s="55" t="s">
        <v>508</v>
      </c>
      <c r="F737" s="55" t="s">
        <v>554</v>
      </c>
      <c r="G737" s="437">
        <v>0</v>
      </c>
      <c r="H737" s="437">
        <v>17.5</v>
      </c>
      <c r="J737" s="437">
        <v>10.5</v>
      </c>
      <c r="K737" s="475">
        <v>0</v>
      </c>
      <c r="L737" s="475">
        <f t="shared" si="84"/>
        <v>60</v>
      </c>
    </row>
    <row r="738" spans="1:12" ht="24">
      <c r="A738" s="57" t="s">
        <v>510</v>
      </c>
      <c r="B738" s="52" t="s">
        <v>673</v>
      </c>
      <c r="C738" s="55" t="s">
        <v>792</v>
      </c>
      <c r="D738" s="55" t="s">
        <v>530</v>
      </c>
      <c r="E738" s="55" t="s">
        <v>511</v>
      </c>
      <c r="F738" s="55" t="s">
        <v>920</v>
      </c>
      <c r="G738" s="436">
        <f>G741+G739</f>
        <v>33080</v>
      </c>
      <c r="H738" s="436">
        <f>H741+H739</f>
        <v>71634.70000000001</v>
      </c>
      <c r="J738" s="436">
        <f>J741+J739</f>
        <v>54137.2</v>
      </c>
      <c r="K738" s="475">
        <f>J738/G738*100</f>
        <v>163.6553808948005</v>
      </c>
      <c r="L738" s="475">
        <f t="shared" si="84"/>
        <v>75.573988583745</v>
      </c>
    </row>
    <row r="739" spans="1:12" ht="24">
      <c r="A739" s="206" t="s">
        <v>68</v>
      </c>
      <c r="B739" s="52" t="s">
        <v>673</v>
      </c>
      <c r="C739" s="55" t="s">
        <v>792</v>
      </c>
      <c r="D739" s="55" t="s">
        <v>530</v>
      </c>
      <c r="E739" s="55" t="s">
        <v>511</v>
      </c>
      <c r="F739" s="55" t="s">
        <v>528</v>
      </c>
      <c r="G739" s="436">
        <f>G740</f>
        <v>0</v>
      </c>
      <c r="H739" s="436">
        <f>H740</f>
        <v>19826.3</v>
      </c>
      <c r="J739" s="436">
        <f>J740</f>
        <v>8415</v>
      </c>
      <c r="K739" s="475">
        <v>0</v>
      </c>
      <c r="L739" s="475">
        <f t="shared" si="84"/>
        <v>42.44362286457887</v>
      </c>
    </row>
    <row r="740" spans="1:12" ht="24">
      <c r="A740" s="206" t="s">
        <v>710</v>
      </c>
      <c r="B740" s="52" t="s">
        <v>673</v>
      </c>
      <c r="C740" s="55" t="s">
        <v>792</v>
      </c>
      <c r="D740" s="55" t="s">
        <v>530</v>
      </c>
      <c r="E740" s="55" t="s">
        <v>511</v>
      </c>
      <c r="F740" s="55" t="s">
        <v>1486</v>
      </c>
      <c r="G740" s="437">
        <v>0</v>
      </c>
      <c r="H740" s="437">
        <f>19029.6-6084.5+4106.4+300+300+1942.3+232.5</f>
        <v>19826.3</v>
      </c>
      <c r="J740" s="437">
        <v>8415</v>
      </c>
      <c r="K740" s="475">
        <v>0</v>
      </c>
      <c r="L740" s="475">
        <f t="shared" si="84"/>
        <v>42.44362286457887</v>
      </c>
    </row>
    <row r="741" spans="1:12" ht="24">
      <c r="A741" s="62" t="s">
        <v>139</v>
      </c>
      <c r="B741" s="52" t="s">
        <v>673</v>
      </c>
      <c r="C741" s="55" t="s">
        <v>792</v>
      </c>
      <c r="D741" s="55" t="s">
        <v>530</v>
      </c>
      <c r="E741" s="55" t="s">
        <v>511</v>
      </c>
      <c r="F741" s="55" t="s">
        <v>1454</v>
      </c>
      <c r="G741" s="436">
        <f>G742</f>
        <v>33080</v>
      </c>
      <c r="H741" s="436">
        <f>H742</f>
        <v>51808.40000000001</v>
      </c>
      <c r="J741" s="436">
        <f>J742</f>
        <v>45722.2</v>
      </c>
      <c r="K741" s="475">
        <f>J741/G741*100</f>
        <v>138.21704957678355</v>
      </c>
      <c r="L741" s="475">
        <f t="shared" si="84"/>
        <v>88.25248415314888</v>
      </c>
    </row>
    <row r="742" spans="1:12" ht="19.5" customHeight="1">
      <c r="A742" s="57" t="s">
        <v>512</v>
      </c>
      <c r="B742" s="52" t="s">
        <v>673</v>
      </c>
      <c r="C742" s="55" t="s">
        <v>792</v>
      </c>
      <c r="D742" s="55" t="s">
        <v>530</v>
      </c>
      <c r="E742" s="55" t="s">
        <v>511</v>
      </c>
      <c r="F742" s="55" t="s">
        <v>554</v>
      </c>
      <c r="G742" s="437">
        <v>33080</v>
      </c>
      <c r="H742" s="437">
        <f>31580+1500+97.6+542.5+80+55+456+474.5+365.8+567.8+4335+160+71+214.8+251-365.8-567.8+6708.8+47-0.1+35+290.8+290+1287+1400+1000+27.5+161+90.2+332.3+321.4+0.1</f>
        <v>51808.40000000001</v>
      </c>
      <c r="J742" s="437">
        <v>45722.2</v>
      </c>
      <c r="K742" s="475">
        <f>J742/G742*100</f>
        <v>138.21704957678355</v>
      </c>
      <c r="L742" s="475">
        <f t="shared" si="84"/>
        <v>88.25248415314888</v>
      </c>
    </row>
    <row r="743" spans="1:12" ht="24.75" customHeight="1">
      <c r="A743" s="57" t="s">
        <v>513</v>
      </c>
      <c r="B743" s="52" t="s">
        <v>673</v>
      </c>
      <c r="C743" s="55" t="s">
        <v>792</v>
      </c>
      <c r="D743" s="55" t="s">
        <v>530</v>
      </c>
      <c r="E743" s="55" t="s">
        <v>511</v>
      </c>
      <c r="F743" s="55" t="s">
        <v>554</v>
      </c>
      <c r="G743" s="447">
        <v>0</v>
      </c>
      <c r="H743" s="447">
        <v>97.6</v>
      </c>
      <c r="J743" s="447">
        <v>97.6</v>
      </c>
      <c r="K743" s="475">
        <v>0</v>
      </c>
      <c r="L743" s="475">
        <f t="shared" si="84"/>
        <v>100</v>
      </c>
    </row>
    <row r="744" spans="1:12" ht="24.75" customHeight="1">
      <c r="A744" s="57" t="s">
        <v>514</v>
      </c>
      <c r="B744" s="52" t="s">
        <v>673</v>
      </c>
      <c r="C744" s="55" t="s">
        <v>792</v>
      </c>
      <c r="D744" s="55" t="s">
        <v>530</v>
      </c>
      <c r="E744" s="55" t="s">
        <v>511</v>
      </c>
      <c r="F744" s="55" t="s">
        <v>554</v>
      </c>
      <c r="G744" s="447">
        <v>0</v>
      </c>
      <c r="H744" s="447">
        <f>542.5+47+290</f>
        <v>879.5</v>
      </c>
      <c r="J744" s="447">
        <v>876.9</v>
      </c>
      <c r="K744" s="475">
        <v>0</v>
      </c>
      <c r="L744" s="475">
        <f t="shared" si="84"/>
        <v>99.70437748720865</v>
      </c>
    </row>
    <row r="745" spans="1:12" ht="32.25" customHeight="1">
      <c r="A745" s="57" t="s">
        <v>515</v>
      </c>
      <c r="B745" s="52" t="s">
        <v>673</v>
      </c>
      <c r="C745" s="55" t="s">
        <v>792</v>
      </c>
      <c r="D745" s="55" t="s">
        <v>530</v>
      </c>
      <c r="E745" s="55" t="s">
        <v>511</v>
      </c>
      <c r="F745" s="55" t="s">
        <v>554</v>
      </c>
      <c r="G745" s="447">
        <v>0</v>
      </c>
      <c r="H745" s="447">
        <v>80</v>
      </c>
      <c r="J745" s="447">
        <v>80</v>
      </c>
      <c r="K745" s="475">
        <v>0</v>
      </c>
      <c r="L745" s="475">
        <f t="shared" si="84"/>
        <v>100</v>
      </c>
    </row>
    <row r="746" spans="1:12" ht="25.5" customHeight="1">
      <c r="A746" s="57" t="s">
        <v>516</v>
      </c>
      <c r="B746" s="52" t="s">
        <v>673</v>
      </c>
      <c r="C746" s="55" t="s">
        <v>792</v>
      </c>
      <c r="D746" s="55" t="s">
        <v>530</v>
      </c>
      <c r="E746" s="55" t="s">
        <v>511</v>
      </c>
      <c r="F746" s="55" t="s">
        <v>554</v>
      </c>
      <c r="G746" s="447">
        <v>0</v>
      </c>
      <c r="H746" s="447">
        <v>4335</v>
      </c>
      <c r="J746" s="447">
        <v>3123.8</v>
      </c>
      <c r="K746" s="475">
        <v>0</v>
      </c>
      <c r="L746" s="475">
        <f t="shared" si="84"/>
        <v>72.05997693194925</v>
      </c>
    </row>
    <row r="747" spans="1:12" ht="24.75" customHeight="1">
      <c r="A747" s="57" t="s">
        <v>517</v>
      </c>
      <c r="B747" s="52" t="s">
        <v>673</v>
      </c>
      <c r="C747" s="55" t="s">
        <v>792</v>
      </c>
      <c r="D747" s="55" t="s">
        <v>530</v>
      </c>
      <c r="E747" s="55" t="s">
        <v>511</v>
      </c>
      <c r="F747" s="55" t="s">
        <v>554</v>
      </c>
      <c r="G747" s="447">
        <v>0</v>
      </c>
      <c r="H747" s="447">
        <v>160</v>
      </c>
      <c r="J747" s="447">
        <v>148.4</v>
      </c>
      <c r="K747" s="475">
        <v>0</v>
      </c>
      <c r="L747" s="475">
        <f t="shared" si="84"/>
        <v>92.75</v>
      </c>
    </row>
    <row r="748" spans="1:12" ht="38.25" customHeight="1">
      <c r="A748" s="57" t="s">
        <v>1212</v>
      </c>
      <c r="B748" s="52" t="s">
        <v>673</v>
      </c>
      <c r="C748" s="55" t="s">
        <v>792</v>
      </c>
      <c r="D748" s="55" t="s">
        <v>530</v>
      </c>
      <c r="E748" s="55" t="s">
        <v>511</v>
      </c>
      <c r="F748" s="55" t="s">
        <v>554</v>
      </c>
      <c r="G748" s="447">
        <v>0</v>
      </c>
      <c r="H748" s="447">
        <v>6708.8</v>
      </c>
      <c r="J748" s="447">
        <v>1900</v>
      </c>
      <c r="K748" s="475">
        <v>0</v>
      </c>
      <c r="L748" s="475">
        <f t="shared" si="84"/>
        <v>28.32101120915812</v>
      </c>
    </row>
    <row r="749" spans="1:12" ht="54.75" customHeight="1">
      <c r="A749" s="57" t="s">
        <v>1213</v>
      </c>
      <c r="B749" s="52" t="s">
        <v>673</v>
      </c>
      <c r="C749" s="55" t="s">
        <v>792</v>
      </c>
      <c r="D749" s="55" t="s">
        <v>530</v>
      </c>
      <c r="E749" s="55" t="s">
        <v>511</v>
      </c>
      <c r="F749" s="55" t="s">
        <v>554</v>
      </c>
      <c r="G749" s="447">
        <v>0</v>
      </c>
      <c r="H749" s="447">
        <v>35</v>
      </c>
      <c r="J749" s="447">
        <v>35</v>
      </c>
      <c r="K749" s="475">
        <v>0</v>
      </c>
      <c r="L749" s="475">
        <f t="shared" si="84"/>
        <v>100</v>
      </c>
    </row>
    <row r="750" spans="1:12" ht="24.75" customHeight="1">
      <c r="A750" s="57" t="s">
        <v>1214</v>
      </c>
      <c r="B750" s="52" t="s">
        <v>673</v>
      </c>
      <c r="C750" s="55" t="s">
        <v>792</v>
      </c>
      <c r="D750" s="55" t="s">
        <v>530</v>
      </c>
      <c r="E750" s="55" t="s">
        <v>511</v>
      </c>
      <c r="F750" s="55" t="s">
        <v>554</v>
      </c>
      <c r="G750" s="447">
        <v>0</v>
      </c>
      <c r="H750" s="447">
        <v>290.8</v>
      </c>
      <c r="J750" s="447">
        <v>287.9</v>
      </c>
      <c r="K750" s="475">
        <v>0</v>
      </c>
      <c r="L750" s="475">
        <f t="shared" si="84"/>
        <v>99.00275103163685</v>
      </c>
    </row>
    <row r="751" spans="1:12" ht="24.75" customHeight="1">
      <c r="A751" s="57" t="s">
        <v>1215</v>
      </c>
      <c r="B751" s="52" t="s">
        <v>673</v>
      </c>
      <c r="C751" s="55" t="s">
        <v>792</v>
      </c>
      <c r="D751" s="55" t="s">
        <v>530</v>
      </c>
      <c r="E751" s="55" t="s">
        <v>511</v>
      </c>
      <c r="F751" s="55" t="s">
        <v>554</v>
      </c>
      <c r="G751" s="447">
        <v>0</v>
      </c>
      <c r="H751" s="447">
        <v>27.5</v>
      </c>
      <c r="J751" s="447">
        <v>27.5</v>
      </c>
      <c r="K751" s="475">
        <v>0</v>
      </c>
      <c r="L751" s="475">
        <f t="shared" si="84"/>
        <v>100</v>
      </c>
    </row>
    <row r="752" spans="1:12" ht="24.75" customHeight="1">
      <c r="A752" s="57" t="s">
        <v>1216</v>
      </c>
      <c r="B752" s="52" t="s">
        <v>673</v>
      </c>
      <c r="C752" s="55" t="s">
        <v>792</v>
      </c>
      <c r="D752" s="55" t="s">
        <v>530</v>
      </c>
      <c r="E752" s="55" t="s">
        <v>511</v>
      </c>
      <c r="F752" s="55" t="s">
        <v>554</v>
      </c>
      <c r="G752" s="447">
        <v>0</v>
      </c>
      <c r="H752" s="447">
        <v>161</v>
      </c>
      <c r="J752" s="447">
        <v>158.7</v>
      </c>
      <c r="K752" s="475">
        <v>0</v>
      </c>
      <c r="L752" s="475">
        <f aca="true" t="shared" si="85" ref="L752:L777">J752/H752*100</f>
        <v>98.57142857142857</v>
      </c>
    </row>
    <row r="753" spans="1:12" ht="24.75" customHeight="1">
      <c r="A753" s="57" t="s">
        <v>1217</v>
      </c>
      <c r="B753" s="52" t="s">
        <v>673</v>
      </c>
      <c r="C753" s="55" t="s">
        <v>792</v>
      </c>
      <c r="D753" s="55" t="s">
        <v>530</v>
      </c>
      <c r="E753" s="55" t="s">
        <v>511</v>
      </c>
      <c r="F753" s="55" t="s">
        <v>554</v>
      </c>
      <c r="G753" s="447">
        <v>0</v>
      </c>
      <c r="H753" s="447">
        <v>90.2</v>
      </c>
      <c r="J753" s="447">
        <v>90.2</v>
      </c>
      <c r="K753" s="475">
        <v>0</v>
      </c>
      <c r="L753" s="475">
        <f t="shared" si="85"/>
        <v>100</v>
      </c>
    </row>
    <row r="754" spans="1:12" ht="43.5" customHeight="1">
      <c r="A754" s="57" t="s">
        <v>1054</v>
      </c>
      <c r="B754" s="52" t="s">
        <v>673</v>
      </c>
      <c r="C754" s="55" t="s">
        <v>792</v>
      </c>
      <c r="D754" s="55" t="s">
        <v>530</v>
      </c>
      <c r="E754" s="55" t="s">
        <v>1055</v>
      </c>
      <c r="F754" s="55" t="s">
        <v>920</v>
      </c>
      <c r="G754" s="436">
        <f>G755</f>
        <v>0</v>
      </c>
      <c r="H754" s="436">
        <f>H755</f>
        <v>3550</v>
      </c>
      <c r="J754" s="436">
        <f>J755</f>
        <v>3046.8</v>
      </c>
      <c r="K754" s="475">
        <v>0</v>
      </c>
      <c r="L754" s="475">
        <f t="shared" si="85"/>
        <v>85.82535211267606</v>
      </c>
    </row>
    <row r="755" spans="1:12" ht="21.75" customHeight="1">
      <c r="A755" s="206" t="s">
        <v>710</v>
      </c>
      <c r="B755" s="52" t="s">
        <v>673</v>
      </c>
      <c r="C755" s="55" t="s">
        <v>792</v>
      </c>
      <c r="D755" s="55" t="s">
        <v>530</v>
      </c>
      <c r="E755" s="55" t="s">
        <v>1055</v>
      </c>
      <c r="F755" s="55" t="s">
        <v>1486</v>
      </c>
      <c r="G755" s="447">
        <v>0</v>
      </c>
      <c r="H755" s="447">
        <v>3550</v>
      </c>
      <c r="J755" s="447">
        <v>3046.8</v>
      </c>
      <c r="K755" s="475">
        <v>0</v>
      </c>
      <c r="L755" s="475">
        <f t="shared" si="85"/>
        <v>85.82535211267606</v>
      </c>
    </row>
    <row r="756" spans="1:12" ht="19.5" customHeight="1">
      <c r="A756" s="77" t="s">
        <v>1136</v>
      </c>
      <c r="B756" s="52" t="s">
        <v>673</v>
      </c>
      <c r="C756" s="68" t="s">
        <v>417</v>
      </c>
      <c r="D756" s="68"/>
      <c r="E756" s="55"/>
      <c r="F756" s="68"/>
      <c r="G756" s="435">
        <f>G757</f>
        <v>700</v>
      </c>
      <c r="H756" s="435">
        <f>H757</f>
        <v>700</v>
      </c>
      <c r="J756" s="435">
        <f>J757</f>
        <v>652.7</v>
      </c>
      <c r="K756" s="460">
        <f aca="true" t="shared" si="86" ref="K756:K777">J756/G756*100</f>
        <v>93.24285714285715</v>
      </c>
      <c r="L756" s="460">
        <f t="shared" si="85"/>
        <v>93.24285714285715</v>
      </c>
    </row>
    <row r="757" spans="1:12" ht="24">
      <c r="A757" s="61" t="s">
        <v>1354</v>
      </c>
      <c r="B757" s="52" t="s">
        <v>673</v>
      </c>
      <c r="C757" s="55" t="s">
        <v>417</v>
      </c>
      <c r="D757" s="55" t="s">
        <v>530</v>
      </c>
      <c r="E757" s="68"/>
      <c r="F757" s="68"/>
      <c r="G757" s="436">
        <f>G758</f>
        <v>700</v>
      </c>
      <c r="H757" s="436">
        <f>H758</f>
        <v>700</v>
      </c>
      <c r="J757" s="436">
        <f>J758</f>
        <v>652.7</v>
      </c>
      <c r="K757" s="460">
        <f t="shared" si="86"/>
        <v>93.24285714285715</v>
      </c>
      <c r="L757" s="460">
        <f t="shared" si="85"/>
        <v>93.24285714285715</v>
      </c>
    </row>
    <row r="758" spans="1:12" ht="26.25" customHeight="1">
      <c r="A758" s="63" t="s">
        <v>962</v>
      </c>
      <c r="B758" s="52" t="s">
        <v>673</v>
      </c>
      <c r="C758" s="55" t="s">
        <v>417</v>
      </c>
      <c r="D758" s="55" t="s">
        <v>530</v>
      </c>
      <c r="E758" s="55" t="s">
        <v>1219</v>
      </c>
      <c r="F758" s="68"/>
      <c r="G758" s="436">
        <f>G759+G763</f>
        <v>700</v>
      </c>
      <c r="H758" s="436">
        <f>H759+H763</f>
        <v>700</v>
      </c>
      <c r="J758" s="436">
        <f>J759+J763</f>
        <v>652.7</v>
      </c>
      <c r="K758" s="460">
        <f t="shared" si="86"/>
        <v>93.24285714285715</v>
      </c>
      <c r="L758" s="460">
        <f t="shared" si="85"/>
        <v>93.24285714285715</v>
      </c>
    </row>
    <row r="759" spans="1:12" ht="29.25" customHeight="1">
      <c r="A759" s="62" t="s">
        <v>1220</v>
      </c>
      <c r="B759" s="52" t="s">
        <v>673</v>
      </c>
      <c r="C759" s="55" t="s">
        <v>417</v>
      </c>
      <c r="D759" s="55" t="s">
        <v>530</v>
      </c>
      <c r="E759" s="55" t="s">
        <v>1221</v>
      </c>
      <c r="F759" s="68"/>
      <c r="G759" s="436">
        <f aca="true" t="shared" si="87" ref="G759:H761">G760</f>
        <v>500</v>
      </c>
      <c r="H759" s="436">
        <f t="shared" si="87"/>
        <v>500</v>
      </c>
      <c r="J759" s="436">
        <f>J760</f>
        <v>473</v>
      </c>
      <c r="K759" s="475">
        <f t="shared" si="86"/>
        <v>94.6</v>
      </c>
      <c r="L759" s="475">
        <f t="shared" si="85"/>
        <v>94.6</v>
      </c>
    </row>
    <row r="760" spans="1:12" ht="15.75" customHeight="1">
      <c r="A760" s="57" t="s">
        <v>1137</v>
      </c>
      <c r="B760" s="52" t="s">
        <v>673</v>
      </c>
      <c r="C760" s="55" t="s">
        <v>417</v>
      </c>
      <c r="D760" s="55" t="s">
        <v>530</v>
      </c>
      <c r="E760" s="55" t="s">
        <v>1222</v>
      </c>
      <c r="F760" s="68" t="s">
        <v>920</v>
      </c>
      <c r="G760" s="436">
        <f t="shared" si="87"/>
        <v>500</v>
      </c>
      <c r="H760" s="436">
        <f t="shared" si="87"/>
        <v>500</v>
      </c>
      <c r="J760" s="436">
        <f>J761</f>
        <v>473</v>
      </c>
      <c r="K760" s="475">
        <f t="shared" si="86"/>
        <v>94.6</v>
      </c>
      <c r="L760" s="475">
        <f t="shared" si="85"/>
        <v>94.6</v>
      </c>
    </row>
    <row r="761" spans="1:12" ht="24">
      <c r="A761" s="206" t="s">
        <v>68</v>
      </c>
      <c r="B761" s="52" t="s">
        <v>673</v>
      </c>
      <c r="C761" s="55" t="s">
        <v>417</v>
      </c>
      <c r="D761" s="55" t="s">
        <v>530</v>
      </c>
      <c r="E761" s="55" t="s">
        <v>1222</v>
      </c>
      <c r="F761" s="68" t="s">
        <v>528</v>
      </c>
      <c r="G761" s="436">
        <f t="shared" si="87"/>
        <v>500</v>
      </c>
      <c r="H761" s="436">
        <f t="shared" si="87"/>
        <v>500</v>
      </c>
      <c r="J761" s="436">
        <f>J762</f>
        <v>473</v>
      </c>
      <c r="K761" s="475">
        <f t="shared" si="86"/>
        <v>94.6</v>
      </c>
      <c r="L761" s="475">
        <f t="shared" si="85"/>
        <v>94.6</v>
      </c>
    </row>
    <row r="762" spans="1:12" ht="15.75" customHeight="1">
      <c r="A762" s="206" t="s">
        <v>710</v>
      </c>
      <c r="B762" s="52" t="s">
        <v>673</v>
      </c>
      <c r="C762" s="55" t="s">
        <v>417</v>
      </c>
      <c r="D762" s="55" t="s">
        <v>530</v>
      </c>
      <c r="E762" s="55" t="s">
        <v>1222</v>
      </c>
      <c r="F762" s="68" t="s">
        <v>1486</v>
      </c>
      <c r="G762" s="437">
        <v>500</v>
      </c>
      <c r="H762" s="437">
        <v>500</v>
      </c>
      <c r="J762" s="437">
        <v>473</v>
      </c>
      <c r="K762" s="475">
        <f t="shared" si="86"/>
        <v>94.6</v>
      </c>
      <c r="L762" s="475">
        <f t="shared" si="85"/>
        <v>94.6</v>
      </c>
    </row>
    <row r="763" spans="1:12" ht="30" customHeight="1">
      <c r="A763" s="62" t="s">
        <v>1223</v>
      </c>
      <c r="B763" s="52" t="s">
        <v>673</v>
      </c>
      <c r="C763" s="55" t="s">
        <v>417</v>
      </c>
      <c r="D763" s="55" t="s">
        <v>530</v>
      </c>
      <c r="E763" s="55" t="s">
        <v>1224</v>
      </c>
      <c r="F763" s="68"/>
      <c r="G763" s="436">
        <f aca="true" t="shared" si="88" ref="G763:H765">G764</f>
        <v>200</v>
      </c>
      <c r="H763" s="436">
        <f t="shared" si="88"/>
        <v>200</v>
      </c>
      <c r="J763" s="436">
        <f>J764</f>
        <v>179.7</v>
      </c>
      <c r="K763" s="475">
        <f t="shared" si="86"/>
        <v>89.85</v>
      </c>
      <c r="L763" s="475">
        <f t="shared" si="85"/>
        <v>89.85</v>
      </c>
    </row>
    <row r="764" spans="1:12" ht="15.75" customHeight="1">
      <c r="A764" s="57" t="s">
        <v>1225</v>
      </c>
      <c r="B764" s="52" t="s">
        <v>673</v>
      </c>
      <c r="C764" s="68" t="s">
        <v>417</v>
      </c>
      <c r="D764" s="68" t="s">
        <v>530</v>
      </c>
      <c r="E764" s="55" t="s">
        <v>1226</v>
      </c>
      <c r="F764" s="68" t="s">
        <v>920</v>
      </c>
      <c r="G764" s="436">
        <f t="shared" si="88"/>
        <v>200</v>
      </c>
      <c r="H764" s="436">
        <f t="shared" si="88"/>
        <v>200</v>
      </c>
      <c r="J764" s="436">
        <f>J765</f>
        <v>179.7</v>
      </c>
      <c r="K764" s="475">
        <f t="shared" si="86"/>
        <v>89.85</v>
      </c>
      <c r="L764" s="475">
        <f t="shared" si="85"/>
        <v>89.85</v>
      </c>
    </row>
    <row r="765" spans="1:12" ht="15.75" customHeight="1">
      <c r="A765" s="206" t="s">
        <v>793</v>
      </c>
      <c r="B765" s="52" t="s">
        <v>673</v>
      </c>
      <c r="C765" s="55" t="s">
        <v>417</v>
      </c>
      <c r="D765" s="55" t="s">
        <v>530</v>
      </c>
      <c r="E765" s="55" t="s">
        <v>1226</v>
      </c>
      <c r="F765" s="55" t="s">
        <v>794</v>
      </c>
      <c r="G765" s="436">
        <f t="shared" si="88"/>
        <v>200</v>
      </c>
      <c r="H765" s="436">
        <f t="shared" si="88"/>
        <v>200</v>
      </c>
      <c r="J765" s="436">
        <f>J766</f>
        <v>179.7</v>
      </c>
      <c r="K765" s="475">
        <f t="shared" si="86"/>
        <v>89.85</v>
      </c>
      <c r="L765" s="475">
        <f t="shared" si="85"/>
        <v>89.85</v>
      </c>
    </row>
    <row r="766" spans="1:12" ht="15.75" customHeight="1">
      <c r="A766" s="57" t="s">
        <v>810</v>
      </c>
      <c r="B766" s="52" t="s">
        <v>673</v>
      </c>
      <c r="C766" s="55" t="s">
        <v>417</v>
      </c>
      <c r="D766" s="55" t="s">
        <v>530</v>
      </c>
      <c r="E766" s="55" t="s">
        <v>1226</v>
      </c>
      <c r="F766" s="55" t="s">
        <v>811</v>
      </c>
      <c r="G766" s="437">
        <v>200</v>
      </c>
      <c r="H766" s="437">
        <v>200</v>
      </c>
      <c r="J766" s="437">
        <v>179.7</v>
      </c>
      <c r="K766" s="475">
        <f t="shared" si="86"/>
        <v>89.85</v>
      </c>
      <c r="L766" s="475">
        <f t="shared" si="85"/>
        <v>89.85</v>
      </c>
    </row>
    <row r="767" spans="1:12" ht="15.75">
      <c r="A767" s="62" t="s">
        <v>427</v>
      </c>
      <c r="B767" s="52" t="s">
        <v>673</v>
      </c>
      <c r="C767" s="55" t="s">
        <v>519</v>
      </c>
      <c r="D767" s="55"/>
      <c r="E767" s="55"/>
      <c r="F767" s="74"/>
      <c r="G767" s="448">
        <f>G768+G778+G901</f>
        <v>79907.6</v>
      </c>
      <c r="H767" s="448">
        <f>H768+H778+H901</f>
        <v>100497.4</v>
      </c>
      <c r="J767" s="448">
        <f>J768+J778+J901</f>
        <v>92437.20000000001</v>
      </c>
      <c r="K767" s="460">
        <f t="shared" si="86"/>
        <v>115.68011052765945</v>
      </c>
      <c r="L767" s="460">
        <f t="shared" si="85"/>
        <v>91.97969300698328</v>
      </c>
    </row>
    <row r="768" spans="1:12" ht="15.75">
      <c r="A768" s="61" t="s">
        <v>400</v>
      </c>
      <c r="B768" s="52" t="s">
        <v>673</v>
      </c>
      <c r="C768" s="55" t="s">
        <v>519</v>
      </c>
      <c r="D768" s="55" t="s">
        <v>1105</v>
      </c>
      <c r="E768" s="68"/>
      <c r="F768" s="68"/>
      <c r="G768" s="449">
        <f aca="true" t="shared" si="89" ref="G768:H770">G769</f>
        <v>8044.5</v>
      </c>
      <c r="H768" s="449">
        <f t="shared" si="89"/>
        <v>8044.5</v>
      </c>
      <c r="J768" s="449">
        <f>J769</f>
        <v>7822.4</v>
      </c>
      <c r="K768" s="460">
        <f t="shared" si="86"/>
        <v>97.23910746472745</v>
      </c>
      <c r="L768" s="460">
        <f t="shared" si="85"/>
        <v>97.23910746472745</v>
      </c>
    </row>
    <row r="769" spans="1:12" ht="25.5" customHeight="1">
      <c r="A769" s="56" t="s">
        <v>963</v>
      </c>
      <c r="B769" s="52" t="s">
        <v>673</v>
      </c>
      <c r="C769" s="55" t="s">
        <v>519</v>
      </c>
      <c r="D769" s="55" t="s">
        <v>1105</v>
      </c>
      <c r="E769" s="55" t="s">
        <v>17</v>
      </c>
      <c r="F769" s="68"/>
      <c r="G769" s="436">
        <f t="shared" si="89"/>
        <v>8044.5</v>
      </c>
      <c r="H769" s="436">
        <f t="shared" si="89"/>
        <v>8044.5</v>
      </c>
      <c r="J769" s="436">
        <f>J770</f>
        <v>7822.4</v>
      </c>
      <c r="K769" s="460">
        <f t="shared" si="86"/>
        <v>97.23910746472745</v>
      </c>
      <c r="L769" s="460">
        <f t="shared" si="85"/>
        <v>97.23910746472745</v>
      </c>
    </row>
    <row r="770" spans="1:12" ht="36">
      <c r="A770" s="62" t="s">
        <v>18</v>
      </c>
      <c r="B770" s="52" t="s">
        <v>673</v>
      </c>
      <c r="C770" s="55" t="s">
        <v>519</v>
      </c>
      <c r="D770" s="55" t="s">
        <v>1105</v>
      </c>
      <c r="E770" s="55" t="s">
        <v>19</v>
      </c>
      <c r="F770" s="68"/>
      <c r="G770" s="436">
        <f t="shared" si="89"/>
        <v>8044.5</v>
      </c>
      <c r="H770" s="436">
        <f t="shared" si="89"/>
        <v>8044.5</v>
      </c>
      <c r="J770" s="436">
        <f>J771</f>
        <v>7822.4</v>
      </c>
      <c r="K770" s="475">
        <f t="shared" si="86"/>
        <v>97.23910746472745</v>
      </c>
      <c r="L770" s="475">
        <f t="shared" si="85"/>
        <v>97.23910746472745</v>
      </c>
    </row>
    <row r="771" spans="1:12" ht="24">
      <c r="A771" s="62" t="s">
        <v>428</v>
      </c>
      <c r="B771" s="52" t="s">
        <v>673</v>
      </c>
      <c r="C771" s="68" t="s">
        <v>519</v>
      </c>
      <c r="D771" s="68" t="s">
        <v>1105</v>
      </c>
      <c r="E771" s="55" t="s">
        <v>20</v>
      </c>
      <c r="F771" s="68" t="s">
        <v>920</v>
      </c>
      <c r="G771" s="449">
        <f>G773</f>
        <v>8044.5</v>
      </c>
      <c r="H771" s="449">
        <f>H773</f>
        <v>8044.5</v>
      </c>
      <c r="J771" s="449">
        <f>J773</f>
        <v>7822.4</v>
      </c>
      <c r="K771" s="475">
        <f t="shared" si="86"/>
        <v>97.23910746472745</v>
      </c>
      <c r="L771" s="475">
        <f t="shared" si="85"/>
        <v>97.23910746472745</v>
      </c>
    </row>
    <row r="772" spans="1:12" ht="24">
      <c r="A772" s="76" t="s">
        <v>429</v>
      </c>
      <c r="B772" s="52" t="s">
        <v>673</v>
      </c>
      <c r="C772" s="55" t="s">
        <v>519</v>
      </c>
      <c r="D772" s="55" t="s">
        <v>1105</v>
      </c>
      <c r="E772" s="55" t="s">
        <v>20</v>
      </c>
      <c r="F772" s="55" t="s">
        <v>920</v>
      </c>
      <c r="G772" s="436">
        <f>G773</f>
        <v>8044.5</v>
      </c>
      <c r="H772" s="436">
        <f>H773</f>
        <v>8044.5</v>
      </c>
      <c r="J772" s="436">
        <f>J773</f>
        <v>7822.4</v>
      </c>
      <c r="K772" s="475">
        <f t="shared" si="86"/>
        <v>97.23910746472745</v>
      </c>
      <c r="L772" s="475">
        <f t="shared" si="85"/>
        <v>97.23910746472745</v>
      </c>
    </row>
    <row r="773" spans="1:12" ht="24">
      <c r="A773" s="57" t="s">
        <v>804</v>
      </c>
      <c r="B773" s="52" t="s">
        <v>673</v>
      </c>
      <c r="C773" s="55" t="s">
        <v>519</v>
      </c>
      <c r="D773" s="55" t="s">
        <v>1105</v>
      </c>
      <c r="E773" s="55" t="s">
        <v>20</v>
      </c>
      <c r="F773" s="55" t="s">
        <v>920</v>
      </c>
      <c r="G773" s="436">
        <f>G774+G776</f>
        <v>8044.5</v>
      </c>
      <c r="H773" s="436">
        <f>H774+H776</f>
        <v>8044.5</v>
      </c>
      <c r="J773" s="436">
        <f>J774+J776</f>
        <v>7822.4</v>
      </c>
      <c r="K773" s="475">
        <f t="shared" si="86"/>
        <v>97.23910746472745</v>
      </c>
      <c r="L773" s="475">
        <f t="shared" si="85"/>
        <v>97.23910746472745</v>
      </c>
    </row>
    <row r="774" spans="1:12" ht="24">
      <c r="A774" s="57" t="s">
        <v>21</v>
      </c>
      <c r="B774" s="52" t="s">
        <v>673</v>
      </c>
      <c r="C774" s="55" t="s">
        <v>519</v>
      </c>
      <c r="D774" s="55" t="s">
        <v>1105</v>
      </c>
      <c r="E774" s="55" t="s">
        <v>20</v>
      </c>
      <c r="F774" s="55" t="s">
        <v>528</v>
      </c>
      <c r="G774" s="436">
        <f>G775</f>
        <v>79.7</v>
      </c>
      <c r="H774" s="436">
        <f>H775</f>
        <v>79.7</v>
      </c>
      <c r="J774" s="436">
        <f>J775</f>
        <v>52.9</v>
      </c>
      <c r="K774" s="475">
        <f t="shared" si="86"/>
        <v>66.37390213299874</v>
      </c>
      <c r="L774" s="475">
        <f t="shared" si="85"/>
        <v>66.37390213299874</v>
      </c>
    </row>
    <row r="775" spans="1:12" ht="24">
      <c r="A775" s="57" t="s">
        <v>22</v>
      </c>
      <c r="B775" s="52" t="s">
        <v>673</v>
      </c>
      <c r="C775" s="55" t="s">
        <v>519</v>
      </c>
      <c r="D775" s="55" t="s">
        <v>1105</v>
      </c>
      <c r="E775" s="55" t="s">
        <v>20</v>
      </c>
      <c r="F775" s="55" t="s">
        <v>1486</v>
      </c>
      <c r="G775" s="437">
        <v>79.7</v>
      </c>
      <c r="H775" s="437">
        <v>79.7</v>
      </c>
      <c r="J775" s="437">
        <v>52.9</v>
      </c>
      <c r="K775" s="475">
        <f t="shared" si="86"/>
        <v>66.37390213299874</v>
      </c>
      <c r="L775" s="475">
        <f t="shared" si="85"/>
        <v>66.37390213299874</v>
      </c>
    </row>
    <row r="776" spans="1:12" ht="24">
      <c r="A776" s="206" t="s">
        <v>767</v>
      </c>
      <c r="B776" s="52" t="s">
        <v>673</v>
      </c>
      <c r="C776" s="55" t="s">
        <v>519</v>
      </c>
      <c r="D776" s="55" t="s">
        <v>1105</v>
      </c>
      <c r="E776" s="55" t="s">
        <v>20</v>
      </c>
      <c r="F776" s="55" t="s">
        <v>768</v>
      </c>
      <c r="G776" s="436">
        <f>G777</f>
        <v>7964.8</v>
      </c>
      <c r="H776" s="436">
        <f>H777</f>
        <v>7964.8</v>
      </c>
      <c r="J776" s="436">
        <f>J777</f>
        <v>7769.5</v>
      </c>
      <c r="K776" s="475">
        <f t="shared" si="86"/>
        <v>97.5479610285255</v>
      </c>
      <c r="L776" s="475">
        <f t="shared" si="85"/>
        <v>97.5479610285255</v>
      </c>
    </row>
    <row r="777" spans="1:12" ht="24">
      <c r="A777" s="62" t="s">
        <v>1080</v>
      </c>
      <c r="B777" s="52" t="s">
        <v>673</v>
      </c>
      <c r="C777" s="55" t="s">
        <v>519</v>
      </c>
      <c r="D777" s="55" t="s">
        <v>1105</v>
      </c>
      <c r="E777" s="55" t="s">
        <v>20</v>
      </c>
      <c r="F777" s="55" t="s">
        <v>1081</v>
      </c>
      <c r="G777" s="437">
        <f>8044.5-79.7</f>
        <v>7964.8</v>
      </c>
      <c r="H777" s="437">
        <f>8044.5-79.7</f>
        <v>7964.8</v>
      </c>
      <c r="J777" s="437">
        <v>7769.5</v>
      </c>
      <c r="K777" s="475">
        <f t="shared" si="86"/>
        <v>97.5479610285255</v>
      </c>
      <c r="L777" s="475">
        <f t="shared" si="85"/>
        <v>97.5479610285255</v>
      </c>
    </row>
    <row r="778" spans="1:12" ht="15.75">
      <c r="A778" s="61" t="s">
        <v>401</v>
      </c>
      <c r="B778" s="52" t="s">
        <v>673</v>
      </c>
      <c r="C778" s="55" t="s">
        <v>519</v>
      </c>
      <c r="D778" s="55" t="s">
        <v>530</v>
      </c>
      <c r="E778" s="55"/>
      <c r="F778" s="55"/>
      <c r="G778" s="449">
        <f>G779+G875</f>
        <v>42392.100000000006</v>
      </c>
      <c r="H778" s="449">
        <f>H779+H875</f>
        <v>60252.399999999994</v>
      </c>
      <c r="I778" s="449">
        <f>I779+I875</f>
        <v>0</v>
      </c>
      <c r="J778" s="449">
        <f>J779+J875</f>
        <v>52414.3</v>
      </c>
      <c r="K778" s="476">
        <f aca="true" t="shared" si="90" ref="K778:K785">J778/G778*100</f>
        <v>123.64166908457</v>
      </c>
      <c r="L778" s="476">
        <f aca="true" t="shared" si="91" ref="L778:L785">J778/H778*100</f>
        <v>86.99122358611443</v>
      </c>
    </row>
    <row r="779" spans="1:12" ht="24">
      <c r="A779" s="56" t="s">
        <v>963</v>
      </c>
      <c r="B779" s="52" t="s">
        <v>673</v>
      </c>
      <c r="C779" s="55" t="s">
        <v>519</v>
      </c>
      <c r="D779" s="55" t="s">
        <v>530</v>
      </c>
      <c r="E779" s="55" t="s">
        <v>17</v>
      </c>
      <c r="F779" s="55"/>
      <c r="G779" s="436">
        <f>G780+G871</f>
        <v>38066.8</v>
      </c>
      <c r="H779" s="436">
        <f>H780+H871</f>
        <v>47540.99999999999</v>
      </c>
      <c r="J779" s="436">
        <f>J780+J871</f>
        <v>44476.9</v>
      </c>
      <c r="K779" s="476">
        <f t="shared" si="90"/>
        <v>116.83908287536646</v>
      </c>
      <c r="L779" s="476">
        <f t="shared" si="91"/>
        <v>93.55482636040472</v>
      </c>
    </row>
    <row r="780" spans="1:12" ht="39" customHeight="1">
      <c r="A780" s="62" t="s">
        <v>18</v>
      </c>
      <c r="B780" s="52" t="s">
        <v>673</v>
      </c>
      <c r="C780" s="55" t="s">
        <v>519</v>
      </c>
      <c r="D780" s="55" t="s">
        <v>530</v>
      </c>
      <c r="E780" s="55" t="s">
        <v>19</v>
      </c>
      <c r="F780" s="55"/>
      <c r="G780" s="436">
        <f>G781+G786+G791+G794+G797+G802+G807+G812+G817+G822+G827+G832+G850+G837+G842+G845+G852+G857+G860+G863+G866</f>
        <v>37566.8</v>
      </c>
      <c r="H780" s="436">
        <f>H781+H786+H791+H794+H797+H802+H807+H812+H817+H822+H827+H832+H850+H837+H842+H845+H852+H857+H860+H863+H866</f>
        <v>47040.99999999999</v>
      </c>
      <c r="J780" s="436">
        <f>J781+J786+J791+J794+J797+J802+J807+J812+J817+J822+J827+J832+J850+J837+J842+J845+J852+J857+J860+J863+J866</f>
        <v>43976.9</v>
      </c>
      <c r="K780" s="475">
        <f t="shared" si="90"/>
        <v>117.06320474461491</v>
      </c>
      <c r="L780" s="475">
        <f t="shared" si="91"/>
        <v>93.48632044386814</v>
      </c>
    </row>
    <row r="781" spans="1:12" ht="112.5" customHeight="1">
      <c r="A781" s="403" t="s">
        <v>964</v>
      </c>
      <c r="B781" s="52" t="s">
        <v>673</v>
      </c>
      <c r="C781" s="55" t="s">
        <v>519</v>
      </c>
      <c r="D781" s="55" t="s">
        <v>530</v>
      </c>
      <c r="E781" s="55" t="s">
        <v>26</v>
      </c>
      <c r="F781" s="55" t="s">
        <v>920</v>
      </c>
      <c r="G781" s="436">
        <f>G782+G784</f>
        <v>403</v>
      </c>
      <c r="H781" s="436">
        <f>H782+H784</f>
        <v>403</v>
      </c>
      <c r="J781" s="436">
        <f>J782+J784</f>
        <v>5.3</v>
      </c>
      <c r="K781" s="475">
        <f t="shared" si="90"/>
        <v>1.315136476426799</v>
      </c>
      <c r="L781" s="475">
        <f t="shared" si="91"/>
        <v>1.315136476426799</v>
      </c>
    </row>
    <row r="782" spans="1:12" ht="24">
      <c r="A782" s="57" t="s">
        <v>21</v>
      </c>
      <c r="B782" s="52" t="s">
        <v>673</v>
      </c>
      <c r="C782" s="55" t="s">
        <v>519</v>
      </c>
      <c r="D782" s="55" t="s">
        <v>530</v>
      </c>
      <c r="E782" s="55" t="s">
        <v>26</v>
      </c>
      <c r="F782" s="55" t="s">
        <v>528</v>
      </c>
      <c r="G782" s="436">
        <f>G783</f>
        <v>3</v>
      </c>
      <c r="H782" s="436">
        <f>H783</f>
        <v>3</v>
      </c>
      <c r="J782" s="436">
        <f>J783</f>
        <v>0.3</v>
      </c>
      <c r="K782" s="475">
        <f t="shared" si="90"/>
        <v>10</v>
      </c>
      <c r="L782" s="475">
        <f t="shared" si="91"/>
        <v>10</v>
      </c>
    </row>
    <row r="783" spans="1:12" ht="24">
      <c r="A783" s="57" t="s">
        <v>22</v>
      </c>
      <c r="B783" s="52" t="s">
        <v>673</v>
      </c>
      <c r="C783" s="55" t="s">
        <v>519</v>
      </c>
      <c r="D783" s="55" t="s">
        <v>530</v>
      </c>
      <c r="E783" s="55" t="s">
        <v>26</v>
      </c>
      <c r="F783" s="55" t="s">
        <v>1486</v>
      </c>
      <c r="G783" s="437">
        <v>3</v>
      </c>
      <c r="H783" s="437">
        <v>3</v>
      </c>
      <c r="J783" s="437">
        <v>0.3</v>
      </c>
      <c r="K783" s="475">
        <f t="shared" si="90"/>
        <v>10</v>
      </c>
      <c r="L783" s="475">
        <f t="shared" si="91"/>
        <v>10</v>
      </c>
    </row>
    <row r="784" spans="1:12" ht="24">
      <c r="A784" s="206" t="s">
        <v>767</v>
      </c>
      <c r="B784" s="52" t="s">
        <v>673</v>
      </c>
      <c r="C784" s="55" t="s">
        <v>519</v>
      </c>
      <c r="D784" s="55" t="s">
        <v>530</v>
      </c>
      <c r="E784" s="55" t="s">
        <v>26</v>
      </c>
      <c r="F784" s="55" t="s">
        <v>768</v>
      </c>
      <c r="G784" s="436">
        <f>G785</f>
        <v>400</v>
      </c>
      <c r="H784" s="436">
        <f>H785</f>
        <v>400</v>
      </c>
      <c r="J784" s="436">
        <f>J785</f>
        <v>5</v>
      </c>
      <c r="K784" s="475">
        <f t="shared" si="90"/>
        <v>1.25</v>
      </c>
      <c r="L784" s="475">
        <f t="shared" si="91"/>
        <v>1.25</v>
      </c>
    </row>
    <row r="785" spans="1:12" ht="15">
      <c r="A785" s="62" t="s">
        <v>1080</v>
      </c>
      <c r="B785" s="52" t="s">
        <v>673</v>
      </c>
      <c r="C785" s="55" t="s">
        <v>519</v>
      </c>
      <c r="D785" s="55" t="s">
        <v>530</v>
      </c>
      <c r="E785" s="55" t="s">
        <v>26</v>
      </c>
      <c r="F785" s="55" t="s">
        <v>1081</v>
      </c>
      <c r="G785" s="437">
        <f>400</f>
        <v>400</v>
      </c>
      <c r="H785" s="437">
        <f>400</f>
        <v>400</v>
      </c>
      <c r="J785" s="437">
        <v>5</v>
      </c>
      <c r="K785" s="475">
        <f t="shared" si="90"/>
        <v>1.25</v>
      </c>
      <c r="L785" s="475">
        <f t="shared" si="91"/>
        <v>1.25</v>
      </c>
    </row>
    <row r="786" spans="1:12" ht="24">
      <c r="A786" s="62" t="s">
        <v>27</v>
      </c>
      <c r="B786" s="52" t="s">
        <v>673</v>
      </c>
      <c r="C786" s="55" t="s">
        <v>519</v>
      </c>
      <c r="D786" s="55" t="s">
        <v>530</v>
      </c>
      <c r="E786" s="55" t="s">
        <v>28</v>
      </c>
      <c r="F786" s="55" t="s">
        <v>920</v>
      </c>
      <c r="G786" s="436">
        <f>G787+G789</f>
        <v>321.7</v>
      </c>
      <c r="H786" s="436">
        <f>H787+H789</f>
        <v>321.7</v>
      </c>
      <c r="J786" s="436">
        <f>J787+J789</f>
        <v>176.5</v>
      </c>
      <c r="K786" s="475">
        <f aca="true" t="shared" si="92" ref="K786:K812">J786/G786*100</f>
        <v>54.864780851725214</v>
      </c>
      <c r="L786" s="475">
        <f aca="true" t="shared" si="93" ref="L786:L812">J786/H786*100</f>
        <v>54.864780851725214</v>
      </c>
    </row>
    <row r="787" spans="1:12" ht="15">
      <c r="A787" s="57" t="s">
        <v>21</v>
      </c>
      <c r="B787" s="52" t="s">
        <v>673</v>
      </c>
      <c r="C787" s="55" t="s">
        <v>519</v>
      </c>
      <c r="D787" s="55" t="s">
        <v>530</v>
      </c>
      <c r="E787" s="55" t="s">
        <v>28</v>
      </c>
      <c r="F787" s="55" t="s">
        <v>528</v>
      </c>
      <c r="G787" s="436">
        <f>G788</f>
        <v>2.4</v>
      </c>
      <c r="H787" s="436">
        <f>H788</f>
        <v>2.4</v>
      </c>
      <c r="J787" s="436">
        <f>J788</f>
        <v>1.3</v>
      </c>
      <c r="K787" s="475">
        <f t="shared" si="92"/>
        <v>54.16666666666667</v>
      </c>
      <c r="L787" s="475">
        <f t="shared" si="93"/>
        <v>54.16666666666667</v>
      </c>
    </row>
    <row r="788" spans="1:12" ht="24">
      <c r="A788" s="57" t="s">
        <v>22</v>
      </c>
      <c r="B788" s="52" t="s">
        <v>673</v>
      </c>
      <c r="C788" s="55" t="s">
        <v>519</v>
      </c>
      <c r="D788" s="55" t="s">
        <v>530</v>
      </c>
      <c r="E788" s="55" t="s">
        <v>28</v>
      </c>
      <c r="F788" s="55" t="s">
        <v>1486</v>
      </c>
      <c r="G788" s="437">
        <v>2.4</v>
      </c>
      <c r="H788" s="437">
        <v>2.4</v>
      </c>
      <c r="J788" s="437">
        <v>1.3</v>
      </c>
      <c r="K788" s="475">
        <f t="shared" si="92"/>
        <v>54.16666666666667</v>
      </c>
      <c r="L788" s="475">
        <f t="shared" si="93"/>
        <v>54.16666666666667</v>
      </c>
    </row>
    <row r="789" spans="1:12" ht="20.25" customHeight="1">
      <c r="A789" s="206" t="s">
        <v>767</v>
      </c>
      <c r="B789" s="52" t="s">
        <v>673</v>
      </c>
      <c r="C789" s="55" t="s">
        <v>519</v>
      </c>
      <c r="D789" s="55" t="s">
        <v>530</v>
      </c>
      <c r="E789" s="55" t="s">
        <v>28</v>
      </c>
      <c r="F789" s="55" t="s">
        <v>768</v>
      </c>
      <c r="G789" s="436">
        <f>G790</f>
        <v>319.3</v>
      </c>
      <c r="H789" s="436">
        <f>H790</f>
        <v>319.3</v>
      </c>
      <c r="J789" s="436">
        <f>J790</f>
        <v>175.2</v>
      </c>
      <c r="K789" s="475">
        <f t="shared" si="92"/>
        <v>54.87002818665832</v>
      </c>
      <c r="L789" s="475">
        <f t="shared" si="93"/>
        <v>54.87002818665832</v>
      </c>
    </row>
    <row r="790" spans="1:12" ht="22.5" customHeight="1">
      <c r="A790" s="62" t="s">
        <v>1080</v>
      </c>
      <c r="B790" s="52" t="s">
        <v>673</v>
      </c>
      <c r="C790" s="55" t="s">
        <v>519</v>
      </c>
      <c r="D790" s="55" t="s">
        <v>530</v>
      </c>
      <c r="E790" s="55" t="s">
        <v>28</v>
      </c>
      <c r="F790" s="55" t="s">
        <v>1081</v>
      </c>
      <c r="G790" s="437">
        <v>319.3</v>
      </c>
      <c r="H790" s="437">
        <v>319.3</v>
      </c>
      <c r="J790" s="437">
        <v>175.2</v>
      </c>
      <c r="K790" s="475">
        <f t="shared" si="92"/>
        <v>54.87002818665832</v>
      </c>
      <c r="L790" s="475">
        <f t="shared" si="93"/>
        <v>54.87002818665832</v>
      </c>
    </row>
    <row r="791" spans="1:12" ht="76.5" customHeight="1">
      <c r="A791" s="57" t="s">
        <v>686</v>
      </c>
      <c r="B791" s="52" t="s">
        <v>673</v>
      </c>
      <c r="C791" s="55" t="s">
        <v>519</v>
      </c>
      <c r="D791" s="55" t="s">
        <v>530</v>
      </c>
      <c r="E791" s="55" t="s">
        <v>29</v>
      </c>
      <c r="F791" s="55" t="s">
        <v>920</v>
      </c>
      <c r="G791" s="436">
        <f>G792</f>
        <v>2560</v>
      </c>
      <c r="H791" s="436">
        <f>H792</f>
        <v>2060</v>
      </c>
      <c r="J791" s="436">
        <f>J792</f>
        <v>1595</v>
      </c>
      <c r="K791" s="475">
        <f t="shared" si="92"/>
        <v>62.3046875</v>
      </c>
      <c r="L791" s="475">
        <f t="shared" si="93"/>
        <v>77.42718446601941</v>
      </c>
    </row>
    <row r="792" spans="1:12" ht="19.5" customHeight="1">
      <c r="A792" s="206" t="s">
        <v>767</v>
      </c>
      <c r="B792" s="52" t="s">
        <v>673</v>
      </c>
      <c r="C792" s="55" t="s">
        <v>519</v>
      </c>
      <c r="D792" s="55" t="s">
        <v>530</v>
      </c>
      <c r="E792" s="55" t="s">
        <v>29</v>
      </c>
      <c r="F792" s="55" t="s">
        <v>768</v>
      </c>
      <c r="G792" s="436">
        <f>G793</f>
        <v>2560</v>
      </c>
      <c r="H792" s="436">
        <f>H793</f>
        <v>2060</v>
      </c>
      <c r="J792" s="436">
        <f>J793</f>
        <v>1595</v>
      </c>
      <c r="K792" s="475">
        <f t="shared" si="92"/>
        <v>62.3046875</v>
      </c>
      <c r="L792" s="475">
        <f t="shared" si="93"/>
        <v>77.42718446601941</v>
      </c>
    </row>
    <row r="793" spans="1:12" ht="15">
      <c r="A793" s="62" t="s">
        <v>1080</v>
      </c>
      <c r="B793" s="52" t="s">
        <v>673</v>
      </c>
      <c r="C793" s="55" t="s">
        <v>519</v>
      </c>
      <c r="D793" s="55" t="s">
        <v>530</v>
      </c>
      <c r="E793" s="55" t="s">
        <v>29</v>
      </c>
      <c r="F793" s="55" t="s">
        <v>1081</v>
      </c>
      <c r="G793" s="437">
        <f>2560</f>
        <v>2560</v>
      </c>
      <c r="H793" s="437">
        <f>2560-500</f>
        <v>2060</v>
      </c>
      <c r="J793" s="437">
        <v>1595</v>
      </c>
      <c r="K793" s="475">
        <f t="shared" si="92"/>
        <v>62.3046875</v>
      </c>
      <c r="L793" s="475">
        <f t="shared" si="93"/>
        <v>77.42718446601941</v>
      </c>
    </row>
    <row r="794" spans="1:12" ht="34.5" customHeight="1">
      <c r="A794" s="57" t="s">
        <v>998</v>
      </c>
      <c r="B794" s="52" t="s">
        <v>673</v>
      </c>
      <c r="C794" s="55" t="s">
        <v>519</v>
      </c>
      <c r="D794" s="55" t="s">
        <v>530</v>
      </c>
      <c r="E794" s="55" t="s">
        <v>30</v>
      </c>
      <c r="F794" s="55" t="s">
        <v>920</v>
      </c>
      <c r="G794" s="436">
        <f>G795</f>
        <v>300</v>
      </c>
      <c r="H794" s="436">
        <f>H795</f>
        <v>300</v>
      </c>
      <c r="J794" s="436">
        <f>J795</f>
        <v>300</v>
      </c>
      <c r="K794" s="475">
        <f t="shared" si="92"/>
        <v>100</v>
      </c>
      <c r="L794" s="475">
        <f t="shared" si="93"/>
        <v>100</v>
      </c>
    </row>
    <row r="795" spans="1:12" ht="15.75" customHeight="1">
      <c r="A795" s="206" t="s">
        <v>767</v>
      </c>
      <c r="B795" s="52" t="s">
        <v>673</v>
      </c>
      <c r="C795" s="55" t="s">
        <v>519</v>
      </c>
      <c r="D795" s="55" t="s">
        <v>530</v>
      </c>
      <c r="E795" s="55" t="s">
        <v>30</v>
      </c>
      <c r="F795" s="55" t="s">
        <v>768</v>
      </c>
      <c r="G795" s="436">
        <f>G796</f>
        <v>300</v>
      </c>
      <c r="H795" s="436">
        <f>H796</f>
        <v>300</v>
      </c>
      <c r="J795" s="436">
        <f>J796</f>
        <v>300</v>
      </c>
      <c r="K795" s="475">
        <f t="shared" si="92"/>
        <v>100</v>
      </c>
      <c r="L795" s="475">
        <f t="shared" si="93"/>
        <v>100</v>
      </c>
    </row>
    <row r="796" spans="1:12" ht="15.75" customHeight="1">
      <c r="A796" s="62" t="s">
        <v>1080</v>
      </c>
      <c r="B796" s="52" t="s">
        <v>673</v>
      </c>
      <c r="C796" s="55" t="s">
        <v>519</v>
      </c>
      <c r="D796" s="55" t="s">
        <v>530</v>
      </c>
      <c r="E796" s="55" t="s">
        <v>30</v>
      </c>
      <c r="F796" s="55" t="s">
        <v>1081</v>
      </c>
      <c r="G796" s="437">
        <v>300</v>
      </c>
      <c r="H796" s="437">
        <v>300</v>
      </c>
      <c r="J796" s="437">
        <v>300</v>
      </c>
      <c r="K796" s="475">
        <f t="shared" si="92"/>
        <v>100</v>
      </c>
      <c r="L796" s="475">
        <f t="shared" si="93"/>
        <v>100</v>
      </c>
    </row>
    <row r="797" spans="1:12" ht="24">
      <c r="A797" s="57" t="s">
        <v>823</v>
      </c>
      <c r="B797" s="52" t="s">
        <v>673</v>
      </c>
      <c r="C797" s="55" t="s">
        <v>519</v>
      </c>
      <c r="D797" s="55" t="s">
        <v>530</v>
      </c>
      <c r="E797" s="55" t="s">
        <v>31</v>
      </c>
      <c r="F797" s="55" t="s">
        <v>920</v>
      </c>
      <c r="G797" s="436">
        <f>G798+G800</f>
        <v>363.1</v>
      </c>
      <c r="H797" s="436">
        <f>H798+H800</f>
        <v>327.1</v>
      </c>
      <c r="J797" s="436">
        <f>J798+J800</f>
        <v>304.7</v>
      </c>
      <c r="K797" s="475">
        <f t="shared" si="92"/>
        <v>83.91627650784906</v>
      </c>
      <c r="L797" s="475">
        <f t="shared" si="93"/>
        <v>93.15194130235402</v>
      </c>
    </row>
    <row r="798" spans="1:12" ht="15">
      <c r="A798" s="57" t="s">
        <v>21</v>
      </c>
      <c r="B798" s="52" t="s">
        <v>673</v>
      </c>
      <c r="C798" s="55" t="s">
        <v>519</v>
      </c>
      <c r="D798" s="55" t="s">
        <v>530</v>
      </c>
      <c r="E798" s="55" t="s">
        <v>31</v>
      </c>
      <c r="F798" s="55" t="s">
        <v>528</v>
      </c>
      <c r="G798" s="436">
        <f>G799</f>
        <v>10.6</v>
      </c>
      <c r="H798" s="436">
        <f>H799</f>
        <v>10.6</v>
      </c>
      <c r="J798" s="436">
        <f>J799</f>
        <v>4.7</v>
      </c>
      <c r="K798" s="475">
        <f t="shared" si="92"/>
        <v>44.339622641509436</v>
      </c>
      <c r="L798" s="475">
        <f t="shared" si="93"/>
        <v>44.339622641509436</v>
      </c>
    </row>
    <row r="799" spans="1:12" ht="24">
      <c r="A799" s="57" t="s">
        <v>22</v>
      </c>
      <c r="B799" s="52" t="s">
        <v>673</v>
      </c>
      <c r="C799" s="55" t="s">
        <v>519</v>
      </c>
      <c r="D799" s="55" t="s">
        <v>530</v>
      </c>
      <c r="E799" s="55" t="s">
        <v>31</v>
      </c>
      <c r="F799" s="55" t="s">
        <v>1486</v>
      </c>
      <c r="G799" s="437">
        <v>10.6</v>
      </c>
      <c r="H799" s="437">
        <v>10.6</v>
      </c>
      <c r="J799" s="437">
        <v>4.7</v>
      </c>
      <c r="K799" s="475">
        <f t="shared" si="92"/>
        <v>44.339622641509436</v>
      </c>
      <c r="L799" s="475">
        <f t="shared" si="93"/>
        <v>44.339622641509436</v>
      </c>
    </row>
    <row r="800" spans="1:12" ht="15">
      <c r="A800" s="206" t="s">
        <v>767</v>
      </c>
      <c r="B800" s="52" t="s">
        <v>673</v>
      </c>
      <c r="C800" s="55" t="s">
        <v>519</v>
      </c>
      <c r="D800" s="55" t="s">
        <v>530</v>
      </c>
      <c r="E800" s="55" t="s">
        <v>31</v>
      </c>
      <c r="F800" s="55" t="s">
        <v>768</v>
      </c>
      <c r="G800" s="436">
        <f>G801</f>
        <v>352.5</v>
      </c>
      <c r="H800" s="436">
        <f>H801</f>
        <v>316.5</v>
      </c>
      <c r="J800" s="436">
        <f>J801</f>
        <v>300</v>
      </c>
      <c r="K800" s="475">
        <f t="shared" si="92"/>
        <v>85.1063829787234</v>
      </c>
      <c r="L800" s="475">
        <f t="shared" si="93"/>
        <v>94.7867298578199</v>
      </c>
    </row>
    <row r="801" spans="1:12" ht="15">
      <c r="A801" s="62" t="s">
        <v>1080</v>
      </c>
      <c r="B801" s="52" t="s">
        <v>673</v>
      </c>
      <c r="C801" s="55" t="s">
        <v>519</v>
      </c>
      <c r="D801" s="55" t="s">
        <v>530</v>
      </c>
      <c r="E801" s="55" t="s">
        <v>31</v>
      </c>
      <c r="F801" s="55" t="s">
        <v>1081</v>
      </c>
      <c r="G801" s="437">
        <f>363.1-10.6</f>
        <v>352.5</v>
      </c>
      <c r="H801" s="437">
        <f>363.1-10.6-36</f>
        <v>316.5</v>
      </c>
      <c r="J801" s="437">
        <v>300</v>
      </c>
      <c r="K801" s="475">
        <f t="shared" si="92"/>
        <v>85.1063829787234</v>
      </c>
      <c r="L801" s="475">
        <f t="shared" si="93"/>
        <v>94.7867298578199</v>
      </c>
    </row>
    <row r="802" spans="1:12" ht="22.5" customHeight="1">
      <c r="A802" s="57" t="s">
        <v>824</v>
      </c>
      <c r="B802" s="52" t="s">
        <v>673</v>
      </c>
      <c r="C802" s="55" t="s">
        <v>519</v>
      </c>
      <c r="D802" s="55" t="s">
        <v>530</v>
      </c>
      <c r="E802" s="55" t="s">
        <v>32</v>
      </c>
      <c r="F802" s="55" t="s">
        <v>920</v>
      </c>
      <c r="G802" s="436">
        <f>G803+G805</f>
        <v>183.9</v>
      </c>
      <c r="H802" s="436">
        <f>H803+H805</f>
        <v>183.9</v>
      </c>
      <c r="J802" s="436">
        <f>J803+J805</f>
        <v>161.1</v>
      </c>
      <c r="K802" s="475">
        <f t="shared" si="92"/>
        <v>87.60195758564436</v>
      </c>
      <c r="L802" s="475">
        <f t="shared" si="93"/>
        <v>87.60195758564436</v>
      </c>
    </row>
    <row r="803" spans="1:12" ht="22.5" customHeight="1">
      <c r="A803" s="57" t="s">
        <v>21</v>
      </c>
      <c r="B803" s="52" t="s">
        <v>673</v>
      </c>
      <c r="C803" s="55" t="s">
        <v>519</v>
      </c>
      <c r="D803" s="55" t="s">
        <v>530</v>
      </c>
      <c r="E803" s="55" t="s">
        <v>32</v>
      </c>
      <c r="F803" s="55" t="s">
        <v>528</v>
      </c>
      <c r="G803" s="436">
        <f>G804</f>
        <v>5.4</v>
      </c>
      <c r="H803" s="436">
        <f>H804</f>
        <v>5.4</v>
      </c>
      <c r="J803" s="436">
        <f>J804</f>
        <v>3.6</v>
      </c>
      <c r="K803" s="475">
        <f t="shared" si="92"/>
        <v>66.66666666666666</v>
      </c>
      <c r="L803" s="475">
        <f t="shared" si="93"/>
        <v>66.66666666666666</v>
      </c>
    </row>
    <row r="804" spans="1:12" ht="22.5" customHeight="1">
      <c r="A804" s="57" t="s">
        <v>22</v>
      </c>
      <c r="B804" s="52" t="s">
        <v>673</v>
      </c>
      <c r="C804" s="55" t="s">
        <v>519</v>
      </c>
      <c r="D804" s="55" t="s">
        <v>530</v>
      </c>
      <c r="E804" s="55" t="s">
        <v>32</v>
      </c>
      <c r="F804" s="55" t="s">
        <v>1486</v>
      </c>
      <c r="G804" s="437">
        <v>5.4</v>
      </c>
      <c r="H804" s="437">
        <v>5.4</v>
      </c>
      <c r="J804" s="437">
        <v>3.6</v>
      </c>
      <c r="K804" s="475">
        <f t="shared" si="92"/>
        <v>66.66666666666666</v>
      </c>
      <c r="L804" s="475">
        <f t="shared" si="93"/>
        <v>66.66666666666666</v>
      </c>
    </row>
    <row r="805" spans="1:12" ht="22.5" customHeight="1">
      <c r="A805" s="206" t="s">
        <v>767</v>
      </c>
      <c r="B805" s="52" t="s">
        <v>673</v>
      </c>
      <c r="C805" s="55" t="s">
        <v>519</v>
      </c>
      <c r="D805" s="55" t="s">
        <v>530</v>
      </c>
      <c r="E805" s="55" t="s">
        <v>32</v>
      </c>
      <c r="F805" s="55" t="s">
        <v>768</v>
      </c>
      <c r="G805" s="436">
        <f>G806</f>
        <v>178.5</v>
      </c>
      <c r="H805" s="436">
        <f>H806</f>
        <v>178.5</v>
      </c>
      <c r="J805" s="436">
        <f>J806</f>
        <v>157.5</v>
      </c>
      <c r="K805" s="475">
        <f t="shared" si="92"/>
        <v>88.23529411764706</v>
      </c>
      <c r="L805" s="475">
        <f t="shared" si="93"/>
        <v>88.23529411764706</v>
      </c>
    </row>
    <row r="806" spans="1:12" ht="22.5" customHeight="1">
      <c r="A806" s="62" t="s">
        <v>1080</v>
      </c>
      <c r="B806" s="52" t="s">
        <v>673</v>
      </c>
      <c r="C806" s="55" t="s">
        <v>519</v>
      </c>
      <c r="D806" s="55" t="s">
        <v>530</v>
      </c>
      <c r="E806" s="55" t="s">
        <v>32</v>
      </c>
      <c r="F806" s="55" t="s">
        <v>1081</v>
      </c>
      <c r="G806" s="437">
        <f>183.9-5.4</f>
        <v>178.5</v>
      </c>
      <c r="H806" s="437">
        <f>183.9-5.4</f>
        <v>178.5</v>
      </c>
      <c r="J806" s="437">
        <v>157.5</v>
      </c>
      <c r="K806" s="475">
        <f t="shared" si="92"/>
        <v>88.23529411764706</v>
      </c>
      <c r="L806" s="475">
        <f t="shared" si="93"/>
        <v>88.23529411764706</v>
      </c>
    </row>
    <row r="807" spans="1:12" ht="23.25" customHeight="1">
      <c r="A807" s="57" t="s">
        <v>672</v>
      </c>
      <c r="B807" s="52" t="s">
        <v>673</v>
      </c>
      <c r="C807" s="55" t="s">
        <v>519</v>
      </c>
      <c r="D807" s="55" t="s">
        <v>530</v>
      </c>
      <c r="E807" s="55" t="s">
        <v>33</v>
      </c>
      <c r="F807" s="55" t="s">
        <v>920</v>
      </c>
      <c r="G807" s="436">
        <f>G808+G810</f>
        <v>344.5</v>
      </c>
      <c r="H807" s="436">
        <f>H808+H810</f>
        <v>380.5</v>
      </c>
      <c r="J807" s="436">
        <f>J808+J810</f>
        <v>302.9</v>
      </c>
      <c r="K807" s="475">
        <f t="shared" si="92"/>
        <v>87.92452830188678</v>
      </c>
      <c r="L807" s="475">
        <f t="shared" si="93"/>
        <v>79.60578186596582</v>
      </c>
    </row>
    <row r="808" spans="1:12" ht="23.25" customHeight="1">
      <c r="A808" s="57" t="s">
        <v>21</v>
      </c>
      <c r="B808" s="52" t="s">
        <v>673</v>
      </c>
      <c r="C808" s="55" t="s">
        <v>519</v>
      </c>
      <c r="D808" s="55" t="s">
        <v>530</v>
      </c>
      <c r="E808" s="55" t="s">
        <v>33</v>
      </c>
      <c r="F808" s="55" t="s">
        <v>528</v>
      </c>
      <c r="G808" s="436">
        <f>G809</f>
        <v>10</v>
      </c>
      <c r="H808" s="436">
        <f>H809</f>
        <v>10</v>
      </c>
      <c r="J808" s="436">
        <f>J809</f>
        <v>5.9</v>
      </c>
      <c r="K808" s="475">
        <f t="shared" si="92"/>
        <v>59.00000000000001</v>
      </c>
      <c r="L808" s="475">
        <f t="shared" si="93"/>
        <v>59.00000000000001</v>
      </c>
    </row>
    <row r="809" spans="1:12" ht="23.25" customHeight="1">
      <c r="A809" s="57" t="s">
        <v>22</v>
      </c>
      <c r="B809" s="52" t="s">
        <v>673</v>
      </c>
      <c r="C809" s="55" t="s">
        <v>519</v>
      </c>
      <c r="D809" s="55" t="s">
        <v>530</v>
      </c>
      <c r="E809" s="55" t="s">
        <v>33</v>
      </c>
      <c r="F809" s="55" t="s">
        <v>1486</v>
      </c>
      <c r="G809" s="437">
        <v>10</v>
      </c>
      <c r="H809" s="437">
        <v>10</v>
      </c>
      <c r="J809" s="437">
        <v>5.9</v>
      </c>
      <c r="K809" s="475">
        <f t="shared" si="92"/>
        <v>59.00000000000001</v>
      </c>
      <c r="L809" s="475">
        <f t="shared" si="93"/>
        <v>59.00000000000001</v>
      </c>
    </row>
    <row r="810" spans="1:12" ht="23.25" customHeight="1">
      <c r="A810" s="206" t="s">
        <v>767</v>
      </c>
      <c r="B810" s="52" t="s">
        <v>673</v>
      </c>
      <c r="C810" s="55" t="s">
        <v>519</v>
      </c>
      <c r="D810" s="55" t="s">
        <v>530</v>
      </c>
      <c r="E810" s="55" t="s">
        <v>33</v>
      </c>
      <c r="F810" s="55" t="s">
        <v>768</v>
      </c>
      <c r="G810" s="436">
        <f>G811</f>
        <v>334.5</v>
      </c>
      <c r="H810" s="436">
        <f>H811</f>
        <v>370.5</v>
      </c>
      <c r="J810" s="436">
        <f>J811</f>
        <v>297</v>
      </c>
      <c r="K810" s="475">
        <f t="shared" si="92"/>
        <v>88.78923766816143</v>
      </c>
      <c r="L810" s="475">
        <f t="shared" si="93"/>
        <v>80.16194331983806</v>
      </c>
    </row>
    <row r="811" spans="1:12" ht="22.5" customHeight="1">
      <c r="A811" s="62" t="s">
        <v>1080</v>
      </c>
      <c r="B811" s="52" t="s">
        <v>673</v>
      </c>
      <c r="C811" s="55" t="s">
        <v>519</v>
      </c>
      <c r="D811" s="55" t="s">
        <v>530</v>
      </c>
      <c r="E811" s="55" t="s">
        <v>33</v>
      </c>
      <c r="F811" s="55" t="s">
        <v>1081</v>
      </c>
      <c r="G811" s="437">
        <f>334.5</f>
        <v>334.5</v>
      </c>
      <c r="H811" s="437">
        <f>344.5-10+36</f>
        <v>370.5</v>
      </c>
      <c r="J811" s="437">
        <v>297</v>
      </c>
      <c r="K811" s="475">
        <f t="shared" si="92"/>
        <v>88.78923766816143</v>
      </c>
      <c r="L811" s="475">
        <f t="shared" si="93"/>
        <v>80.16194331983806</v>
      </c>
    </row>
    <row r="812" spans="1:12" ht="24">
      <c r="A812" s="57" t="s">
        <v>1365</v>
      </c>
      <c r="B812" s="52" t="s">
        <v>673</v>
      </c>
      <c r="C812" s="55" t="s">
        <v>519</v>
      </c>
      <c r="D812" s="55" t="s">
        <v>530</v>
      </c>
      <c r="E812" s="55" t="s">
        <v>34</v>
      </c>
      <c r="F812" s="55" t="s">
        <v>920</v>
      </c>
      <c r="G812" s="436">
        <f>G813+G815</f>
        <v>24.7</v>
      </c>
      <c r="H812" s="436">
        <f>H813+H815</f>
        <v>24.7</v>
      </c>
      <c r="J812" s="436">
        <f>J813+J815</f>
        <v>20</v>
      </c>
      <c r="K812" s="475">
        <f t="shared" si="92"/>
        <v>80.97165991902834</v>
      </c>
      <c r="L812" s="475">
        <f t="shared" si="93"/>
        <v>80.97165991902834</v>
      </c>
    </row>
    <row r="813" spans="1:12" ht="15">
      <c r="A813" s="57" t="s">
        <v>21</v>
      </c>
      <c r="B813" s="52" t="s">
        <v>673</v>
      </c>
      <c r="C813" s="55" t="s">
        <v>519</v>
      </c>
      <c r="D813" s="55" t="s">
        <v>530</v>
      </c>
      <c r="E813" s="55" t="s">
        <v>34</v>
      </c>
      <c r="F813" s="55" t="s">
        <v>528</v>
      </c>
      <c r="G813" s="436">
        <f>G814</f>
        <v>0.7</v>
      </c>
      <c r="H813" s="436">
        <f>H814</f>
        <v>0.7</v>
      </c>
      <c r="J813" s="436">
        <f>J814</f>
        <v>0.5</v>
      </c>
      <c r="K813" s="475">
        <f aca="true" t="shared" si="94" ref="K813:K839">J813/G813*100</f>
        <v>71.42857142857143</v>
      </c>
      <c r="L813" s="475">
        <f aca="true" t="shared" si="95" ref="L813:L839">J813/H813*100</f>
        <v>71.42857142857143</v>
      </c>
    </row>
    <row r="814" spans="1:12" ht="24">
      <c r="A814" s="57" t="s">
        <v>22</v>
      </c>
      <c r="B814" s="52" t="s">
        <v>673</v>
      </c>
      <c r="C814" s="55" t="s">
        <v>519</v>
      </c>
      <c r="D814" s="55" t="s">
        <v>530</v>
      </c>
      <c r="E814" s="55" t="s">
        <v>34</v>
      </c>
      <c r="F814" s="55" t="s">
        <v>1486</v>
      </c>
      <c r="G814" s="437">
        <v>0.7</v>
      </c>
      <c r="H814" s="437">
        <v>0.7</v>
      </c>
      <c r="J814" s="437">
        <v>0.5</v>
      </c>
      <c r="K814" s="475">
        <f t="shared" si="94"/>
        <v>71.42857142857143</v>
      </c>
      <c r="L814" s="475">
        <f t="shared" si="95"/>
        <v>71.42857142857143</v>
      </c>
    </row>
    <row r="815" spans="1:12" ht="15">
      <c r="A815" s="206" t="s">
        <v>767</v>
      </c>
      <c r="B815" s="52" t="s">
        <v>673</v>
      </c>
      <c r="C815" s="55" t="s">
        <v>519</v>
      </c>
      <c r="D815" s="55" t="s">
        <v>530</v>
      </c>
      <c r="E815" s="55" t="s">
        <v>34</v>
      </c>
      <c r="F815" s="55" t="s">
        <v>768</v>
      </c>
      <c r="G815" s="436">
        <f>G816</f>
        <v>24</v>
      </c>
      <c r="H815" s="436">
        <f>H816</f>
        <v>24</v>
      </c>
      <c r="J815" s="436">
        <f>J816</f>
        <v>19.5</v>
      </c>
      <c r="K815" s="475">
        <f t="shared" si="94"/>
        <v>81.25</v>
      </c>
      <c r="L815" s="475">
        <f t="shared" si="95"/>
        <v>81.25</v>
      </c>
    </row>
    <row r="816" spans="1:12" ht="15">
      <c r="A816" s="62" t="s">
        <v>1080</v>
      </c>
      <c r="B816" s="52" t="s">
        <v>673</v>
      </c>
      <c r="C816" s="55" t="s">
        <v>519</v>
      </c>
      <c r="D816" s="55" t="s">
        <v>530</v>
      </c>
      <c r="E816" s="55" t="s">
        <v>34</v>
      </c>
      <c r="F816" s="55" t="s">
        <v>1081</v>
      </c>
      <c r="G816" s="437">
        <f>24.7-0.7</f>
        <v>24</v>
      </c>
      <c r="H816" s="437">
        <f>24.7-0.7</f>
        <v>24</v>
      </c>
      <c r="J816" s="437">
        <v>19.5</v>
      </c>
      <c r="K816" s="475">
        <f t="shared" si="94"/>
        <v>81.25</v>
      </c>
      <c r="L816" s="475">
        <f t="shared" si="95"/>
        <v>81.25</v>
      </c>
    </row>
    <row r="817" spans="1:12" ht="24">
      <c r="A817" s="57" t="s">
        <v>1145</v>
      </c>
      <c r="B817" s="52" t="s">
        <v>673</v>
      </c>
      <c r="C817" s="55" t="s">
        <v>519</v>
      </c>
      <c r="D817" s="55" t="s">
        <v>530</v>
      </c>
      <c r="E817" s="55" t="s">
        <v>35</v>
      </c>
      <c r="F817" s="55" t="s">
        <v>920</v>
      </c>
      <c r="G817" s="436">
        <f>G818+G820</f>
        <v>38.6</v>
      </c>
      <c r="H817" s="436">
        <f>H818+H820</f>
        <v>38.6</v>
      </c>
      <c r="J817" s="436">
        <f>J818+J820</f>
        <v>13.7</v>
      </c>
      <c r="K817" s="475">
        <f t="shared" si="94"/>
        <v>35.49222797927461</v>
      </c>
      <c r="L817" s="475">
        <f t="shared" si="95"/>
        <v>35.49222797927461</v>
      </c>
    </row>
    <row r="818" spans="1:12" ht="15">
      <c r="A818" s="57" t="s">
        <v>21</v>
      </c>
      <c r="B818" s="52" t="s">
        <v>673</v>
      </c>
      <c r="C818" s="55" t="s">
        <v>519</v>
      </c>
      <c r="D818" s="55" t="s">
        <v>530</v>
      </c>
      <c r="E818" s="55" t="s">
        <v>35</v>
      </c>
      <c r="F818" s="55" t="s">
        <v>528</v>
      </c>
      <c r="G818" s="436">
        <f>G819</f>
        <v>1.1</v>
      </c>
      <c r="H818" s="436">
        <f>H819</f>
        <v>1.1</v>
      </c>
      <c r="J818" s="436">
        <f>J819</f>
        <v>0.2</v>
      </c>
      <c r="K818" s="475">
        <f t="shared" si="94"/>
        <v>18.181818181818183</v>
      </c>
      <c r="L818" s="475">
        <f t="shared" si="95"/>
        <v>18.181818181818183</v>
      </c>
    </row>
    <row r="819" spans="1:12" ht="24">
      <c r="A819" s="57" t="s">
        <v>22</v>
      </c>
      <c r="B819" s="52" t="s">
        <v>673</v>
      </c>
      <c r="C819" s="55" t="s">
        <v>519</v>
      </c>
      <c r="D819" s="55" t="s">
        <v>530</v>
      </c>
      <c r="E819" s="55" t="s">
        <v>35</v>
      </c>
      <c r="F819" s="55" t="s">
        <v>1486</v>
      </c>
      <c r="G819" s="437">
        <v>1.1</v>
      </c>
      <c r="H819" s="437">
        <v>1.1</v>
      </c>
      <c r="J819" s="437">
        <v>0.2</v>
      </c>
      <c r="K819" s="475">
        <f t="shared" si="94"/>
        <v>18.181818181818183</v>
      </c>
      <c r="L819" s="475">
        <f t="shared" si="95"/>
        <v>18.181818181818183</v>
      </c>
    </row>
    <row r="820" spans="1:12" ht="15">
      <c r="A820" s="206" t="s">
        <v>767</v>
      </c>
      <c r="B820" s="52" t="s">
        <v>673</v>
      </c>
      <c r="C820" s="55" t="s">
        <v>519</v>
      </c>
      <c r="D820" s="55" t="s">
        <v>530</v>
      </c>
      <c r="E820" s="55" t="s">
        <v>35</v>
      </c>
      <c r="F820" s="55" t="s">
        <v>768</v>
      </c>
      <c r="G820" s="436">
        <f>G821</f>
        <v>37.5</v>
      </c>
      <c r="H820" s="436">
        <f>H821</f>
        <v>37.5</v>
      </c>
      <c r="J820" s="436">
        <f>J821</f>
        <v>13.5</v>
      </c>
      <c r="K820" s="475">
        <f t="shared" si="94"/>
        <v>36</v>
      </c>
      <c r="L820" s="475">
        <f t="shared" si="95"/>
        <v>36</v>
      </c>
    </row>
    <row r="821" spans="1:12" ht="15">
      <c r="A821" s="62" t="s">
        <v>1080</v>
      </c>
      <c r="B821" s="52" t="s">
        <v>673</v>
      </c>
      <c r="C821" s="55" t="s">
        <v>519</v>
      </c>
      <c r="D821" s="55" t="s">
        <v>530</v>
      </c>
      <c r="E821" s="55" t="s">
        <v>35</v>
      </c>
      <c r="F821" s="55" t="s">
        <v>1081</v>
      </c>
      <c r="G821" s="437">
        <f>38.6-1.1</f>
        <v>37.5</v>
      </c>
      <c r="H821" s="437">
        <f>38.6-1.1</f>
        <v>37.5</v>
      </c>
      <c r="J821" s="437">
        <v>13.5</v>
      </c>
      <c r="K821" s="475">
        <f t="shared" si="94"/>
        <v>36</v>
      </c>
      <c r="L821" s="475">
        <f t="shared" si="95"/>
        <v>36</v>
      </c>
    </row>
    <row r="822" spans="1:12" ht="24">
      <c r="A822" s="57" t="s">
        <v>1146</v>
      </c>
      <c r="B822" s="52" t="s">
        <v>673</v>
      </c>
      <c r="C822" s="55" t="s">
        <v>519</v>
      </c>
      <c r="D822" s="55" t="s">
        <v>530</v>
      </c>
      <c r="E822" s="55" t="s">
        <v>36</v>
      </c>
      <c r="F822" s="55" t="s">
        <v>920</v>
      </c>
      <c r="G822" s="436">
        <f>G823+G825</f>
        <v>35.5</v>
      </c>
      <c r="H822" s="436">
        <f>H823+H825</f>
        <v>35.5</v>
      </c>
      <c r="J822" s="436">
        <f>J823+J825</f>
        <v>25.8</v>
      </c>
      <c r="K822" s="475">
        <f t="shared" si="94"/>
        <v>72.67605633802818</v>
      </c>
      <c r="L822" s="475">
        <f t="shared" si="95"/>
        <v>72.67605633802818</v>
      </c>
    </row>
    <row r="823" spans="1:12" ht="15">
      <c r="A823" s="57" t="s">
        <v>21</v>
      </c>
      <c r="B823" s="52" t="s">
        <v>673</v>
      </c>
      <c r="C823" s="55" t="s">
        <v>519</v>
      </c>
      <c r="D823" s="55" t="s">
        <v>530</v>
      </c>
      <c r="E823" s="55" t="s">
        <v>36</v>
      </c>
      <c r="F823" s="55" t="s">
        <v>528</v>
      </c>
      <c r="G823" s="436">
        <f>G824</f>
        <v>1</v>
      </c>
      <c r="H823" s="436">
        <f>H824</f>
        <v>1</v>
      </c>
      <c r="J823" s="436">
        <f>J824</f>
        <v>0.8</v>
      </c>
      <c r="K823" s="475">
        <f t="shared" si="94"/>
        <v>80</v>
      </c>
      <c r="L823" s="475">
        <f t="shared" si="95"/>
        <v>80</v>
      </c>
    </row>
    <row r="824" spans="1:12" ht="24">
      <c r="A824" s="57" t="s">
        <v>22</v>
      </c>
      <c r="B824" s="52" t="s">
        <v>673</v>
      </c>
      <c r="C824" s="55" t="s">
        <v>519</v>
      </c>
      <c r="D824" s="55" t="s">
        <v>530</v>
      </c>
      <c r="E824" s="55" t="s">
        <v>36</v>
      </c>
      <c r="F824" s="55" t="s">
        <v>1486</v>
      </c>
      <c r="G824" s="437">
        <v>1</v>
      </c>
      <c r="H824" s="437">
        <v>1</v>
      </c>
      <c r="J824" s="437">
        <v>0.8</v>
      </c>
      <c r="K824" s="475">
        <f t="shared" si="94"/>
        <v>80</v>
      </c>
      <c r="L824" s="475">
        <f t="shared" si="95"/>
        <v>80</v>
      </c>
    </row>
    <row r="825" spans="1:12" ht="15">
      <c r="A825" s="206" t="s">
        <v>767</v>
      </c>
      <c r="B825" s="52" t="s">
        <v>673</v>
      </c>
      <c r="C825" s="55" t="s">
        <v>519</v>
      </c>
      <c r="D825" s="55" t="s">
        <v>530</v>
      </c>
      <c r="E825" s="55" t="s">
        <v>36</v>
      </c>
      <c r="F825" s="55" t="s">
        <v>768</v>
      </c>
      <c r="G825" s="436">
        <f>G826</f>
        <v>34.5</v>
      </c>
      <c r="H825" s="436">
        <f>H826</f>
        <v>34.5</v>
      </c>
      <c r="J825" s="436">
        <f>J826</f>
        <v>25</v>
      </c>
      <c r="K825" s="475">
        <f t="shared" si="94"/>
        <v>72.46376811594203</v>
      </c>
      <c r="L825" s="475">
        <f t="shared" si="95"/>
        <v>72.46376811594203</v>
      </c>
    </row>
    <row r="826" spans="1:12" ht="15">
      <c r="A826" s="62" t="s">
        <v>1080</v>
      </c>
      <c r="B826" s="52" t="s">
        <v>673</v>
      </c>
      <c r="C826" s="55" t="s">
        <v>519</v>
      </c>
      <c r="D826" s="55" t="s">
        <v>530</v>
      </c>
      <c r="E826" s="55" t="s">
        <v>36</v>
      </c>
      <c r="F826" s="55" t="s">
        <v>1081</v>
      </c>
      <c r="G826" s="437">
        <f>35.5-1</f>
        <v>34.5</v>
      </c>
      <c r="H826" s="437">
        <f>35.5-1</f>
        <v>34.5</v>
      </c>
      <c r="J826" s="437">
        <v>25</v>
      </c>
      <c r="K826" s="475">
        <f t="shared" si="94"/>
        <v>72.46376811594203</v>
      </c>
      <c r="L826" s="475">
        <f t="shared" si="95"/>
        <v>72.46376811594203</v>
      </c>
    </row>
    <row r="827" spans="1:12" ht="24">
      <c r="A827" s="57" t="s">
        <v>1147</v>
      </c>
      <c r="B827" s="52" t="s">
        <v>673</v>
      </c>
      <c r="C827" s="55" t="s">
        <v>519</v>
      </c>
      <c r="D827" s="55" t="s">
        <v>530</v>
      </c>
      <c r="E827" s="55" t="s">
        <v>37</v>
      </c>
      <c r="F827" s="55" t="s">
        <v>920</v>
      </c>
      <c r="G827" s="436">
        <f>G828+G830</f>
        <v>13.9</v>
      </c>
      <c r="H827" s="436">
        <f>H828+H830</f>
        <v>13.9</v>
      </c>
      <c r="J827" s="436">
        <f>J828+J830</f>
        <v>12.2</v>
      </c>
      <c r="K827" s="475">
        <f t="shared" si="94"/>
        <v>87.76978417266186</v>
      </c>
      <c r="L827" s="475">
        <f t="shared" si="95"/>
        <v>87.76978417266186</v>
      </c>
    </row>
    <row r="828" spans="1:12" ht="15">
      <c r="A828" s="57" t="s">
        <v>21</v>
      </c>
      <c r="B828" s="52" t="s">
        <v>673</v>
      </c>
      <c r="C828" s="55" t="s">
        <v>519</v>
      </c>
      <c r="D828" s="55" t="s">
        <v>530</v>
      </c>
      <c r="E828" s="55" t="s">
        <v>37</v>
      </c>
      <c r="F828" s="55" t="s">
        <v>528</v>
      </c>
      <c r="G828" s="436">
        <f>G829</f>
        <v>0.4</v>
      </c>
      <c r="H828" s="436">
        <f>H829</f>
        <v>0.4</v>
      </c>
      <c r="J828" s="436">
        <f>J829</f>
        <v>0.2</v>
      </c>
      <c r="K828" s="475">
        <f t="shared" si="94"/>
        <v>50</v>
      </c>
      <c r="L828" s="475">
        <f t="shared" si="95"/>
        <v>50</v>
      </c>
    </row>
    <row r="829" spans="1:12" ht="24">
      <c r="A829" s="57" t="s">
        <v>22</v>
      </c>
      <c r="B829" s="52" t="s">
        <v>673</v>
      </c>
      <c r="C829" s="55" t="s">
        <v>519</v>
      </c>
      <c r="D829" s="55" t="s">
        <v>530</v>
      </c>
      <c r="E829" s="55" t="s">
        <v>37</v>
      </c>
      <c r="F829" s="55" t="s">
        <v>1486</v>
      </c>
      <c r="G829" s="437">
        <v>0.4</v>
      </c>
      <c r="H829" s="437">
        <v>0.4</v>
      </c>
      <c r="J829" s="437">
        <v>0.2</v>
      </c>
      <c r="K829" s="475">
        <f t="shared" si="94"/>
        <v>50</v>
      </c>
      <c r="L829" s="475">
        <f t="shared" si="95"/>
        <v>50</v>
      </c>
    </row>
    <row r="830" spans="1:12" ht="15">
      <c r="A830" s="206" t="s">
        <v>767</v>
      </c>
      <c r="B830" s="52" t="s">
        <v>673</v>
      </c>
      <c r="C830" s="55" t="s">
        <v>519</v>
      </c>
      <c r="D830" s="55" t="s">
        <v>530</v>
      </c>
      <c r="E830" s="55" t="s">
        <v>37</v>
      </c>
      <c r="F830" s="55" t="s">
        <v>768</v>
      </c>
      <c r="G830" s="436">
        <f>G831</f>
        <v>13.5</v>
      </c>
      <c r="H830" s="436">
        <f>H831</f>
        <v>13.5</v>
      </c>
      <c r="J830" s="436">
        <f>J831</f>
        <v>12</v>
      </c>
      <c r="K830" s="475">
        <f t="shared" si="94"/>
        <v>88.88888888888889</v>
      </c>
      <c r="L830" s="475">
        <f t="shared" si="95"/>
        <v>88.88888888888889</v>
      </c>
    </row>
    <row r="831" spans="1:12" ht="15">
      <c r="A831" s="62" t="s">
        <v>1080</v>
      </c>
      <c r="B831" s="52" t="s">
        <v>673</v>
      </c>
      <c r="C831" s="55" t="s">
        <v>519</v>
      </c>
      <c r="D831" s="55" t="s">
        <v>530</v>
      </c>
      <c r="E831" s="55" t="s">
        <v>37</v>
      </c>
      <c r="F831" s="55" t="s">
        <v>1081</v>
      </c>
      <c r="G831" s="437">
        <f>13.9-0.4</f>
        <v>13.5</v>
      </c>
      <c r="H831" s="437">
        <f>13.9-0.4</f>
        <v>13.5</v>
      </c>
      <c r="J831" s="437">
        <v>12</v>
      </c>
      <c r="K831" s="475">
        <f t="shared" si="94"/>
        <v>88.88888888888889</v>
      </c>
      <c r="L831" s="475">
        <f t="shared" si="95"/>
        <v>88.88888888888889</v>
      </c>
    </row>
    <row r="832" spans="1:12" ht="24">
      <c r="A832" s="57" t="s">
        <v>1148</v>
      </c>
      <c r="B832" s="52" t="s">
        <v>673</v>
      </c>
      <c r="C832" s="55" t="s">
        <v>519</v>
      </c>
      <c r="D832" s="55" t="s">
        <v>530</v>
      </c>
      <c r="E832" s="55" t="s">
        <v>38</v>
      </c>
      <c r="F832" s="55" t="s">
        <v>920</v>
      </c>
      <c r="G832" s="436">
        <f>G833+G835</f>
        <v>2317.5</v>
      </c>
      <c r="H832" s="436">
        <f>H833+H835</f>
        <v>2373.5</v>
      </c>
      <c r="J832" s="436">
        <f>J833+J835</f>
        <v>2255.8</v>
      </c>
      <c r="K832" s="475">
        <f t="shared" si="94"/>
        <v>97.33764832793959</v>
      </c>
      <c r="L832" s="475">
        <f t="shared" si="95"/>
        <v>95.0410785759427</v>
      </c>
    </row>
    <row r="833" spans="1:12" ht="15">
      <c r="A833" s="57" t="s">
        <v>21</v>
      </c>
      <c r="B833" s="52" t="s">
        <v>673</v>
      </c>
      <c r="C833" s="55" t="s">
        <v>519</v>
      </c>
      <c r="D833" s="55" t="s">
        <v>530</v>
      </c>
      <c r="E833" s="55" t="s">
        <v>38</v>
      </c>
      <c r="F833" s="55" t="s">
        <v>528</v>
      </c>
      <c r="G833" s="436">
        <f>G834</f>
        <v>67.5</v>
      </c>
      <c r="H833" s="436">
        <f>H834</f>
        <v>67.5</v>
      </c>
      <c r="J833" s="436">
        <f>J834</f>
        <v>20.8</v>
      </c>
      <c r="K833" s="475">
        <f t="shared" si="94"/>
        <v>30.814814814814817</v>
      </c>
      <c r="L833" s="475">
        <f t="shared" si="95"/>
        <v>30.814814814814817</v>
      </c>
    </row>
    <row r="834" spans="1:12" ht="24">
      <c r="A834" s="57" t="s">
        <v>22</v>
      </c>
      <c r="B834" s="52" t="s">
        <v>673</v>
      </c>
      <c r="C834" s="55" t="s">
        <v>519</v>
      </c>
      <c r="D834" s="55" t="s">
        <v>530</v>
      </c>
      <c r="E834" s="55" t="s">
        <v>38</v>
      </c>
      <c r="F834" s="55" t="s">
        <v>1486</v>
      </c>
      <c r="G834" s="437">
        <v>67.5</v>
      </c>
      <c r="H834" s="437">
        <v>67.5</v>
      </c>
      <c r="J834" s="437">
        <v>20.8</v>
      </c>
      <c r="K834" s="475">
        <f t="shared" si="94"/>
        <v>30.814814814814817</v>
      </c>
      <c r="L834" s="475">
        <f t="shared" si="95"/>
        <v>30.814814814814817</v>
      </c>
    </row>
    <row r="835" spans="1:12" ht="15">
      <c r="A835" s="206" t="s">
        <v>767</v>
      </c>
      <c r="B835" s="52" t="s">
        <v>673</v>
      </c>
      <c r="C835" s="55" t="s">
        <v>519</v>
      </c>
      <c r="D835" s="55" t="s">
        <v>530</v>
      </c>
      <c r="E835" s="55" t="s">
        <v>38</v>
      </c>
      <c r="F835" s="55" t="s">
        <v>768</v>
      </c>
      <c r="G835" s="436">
        <f>G836</f>
        <v>2250</v>
      </c>
      <c r="H835" s="436">
        <f>H836</f>
        <v>2306</v>
      </c>
      <c r="J835" s="436">
        <f>J836</f>
        <v>2235</v>
      </c>
      <c r="K835" s="475">
        <f t="shared" si="94"/>
        <v>99.33333333333333</v>
      </c>
      <c r="L835" s="475">
        <f t="shared" si="95"/>
        <v>96.92107545533392</v>
      </c>
    </row>
    <row r="836" spans="1:12" ht="15">
      <c r="A836" s="62" t="s">
        <v>1080</v>
      </c>
      <c r="B836" s="52" t="s">
        <v>673</v>
      </c>
      <c r="C836" s="55" t="s">
        <v>519</v>
      </c>
      <c r="D836" s="55" t="s">
        <v>530</v>
      </c>
      <c r="E836" s="55" t="s">
        <v>38</v>
      </c>
      <c r="F836" s="55" t="s">
        <v>1081</v>
      </c>
      <c r="G836" s="437">
        <v>2250</v>
      </c>
      <c r="H836" s="437">
        <f>2317.5-67.5+56</f>
        <v>2306</v>
      </c>
      <c r="J836" s="437">
        <v>2235</v>
      </c>
      <c r="K836" s="475">
        <f t="shared" si="94"/>
        <v>99.33333333333333</v>
      </c>
      <c r="L836" s="475">
        <f t="shared" si="95"/>
        <v>96.92107545533392</v>
      </c>
    </row>
    <row r="837" spans="1:12" ht="24">
      <c r="A837" s="57" t="s">
        <v>928</v>
      </c>
      <c r="B837" s="52" t="s">
        <v>673</v>
      </c>
      <c r="C837" s="55" t="s">
        <v>519</v>
      </c>
      <c r="D837" s="55" t="s">
        <v>530</v>
      </c>
      <c r="E837" s="55" t="s">
        <v>39</v>
      </c>
      <c r="F837" s="55" t="s">
        <v>920</v>
      </c>
      <c r="G837" s="436">
        <f>G838+G840</f>
        <v>32.4</v>
      </c>
      <c r="H837" s="436">
        <f>H838+H840</f>
        <v>605.5</v>
      </c>
      <c r="J837" s="436">
        <f>J838+J840</f>
        <v>490.5</v>
      </c>
      <c r="K837" s="475">
        <f t="shared" si="94"/>
        <v>1513.888888888889</v>
      </c>
      <c r="L837" s="475">
        <f t="shared" si="95"/>
        <v>81.0074318744839</v>
      </c>
    </row>
    <row r="838" spans="1:12" ht="15">
      <c r="A838" s="57" t="s">
        <v>21</v>
      </c>
      <c r="B838" s="52" t="s">
        <v>673</v>
      </c>
      <c r="C838" s="55" t="s">
        <v>519</v>
      </c>
      <c r="D838" s="55" t="s">
        <v>530</v>
      </c>
      <c r="E838" s="55" t="s">
        <v>39</v>
      </c>
      <c r="F838" s="55" t="s">
        <v>528</v>
      </c>
      <c r="G838" s="436">
        <f>G839</f>
        <v>0.9</v>
      </c>
      <c r="H838" s="436">
        <f>H839</f>
        <v>1</v>
      </c>
      <c r="J838" s="436">
        <f>J839</f>
        <v>0</v>
      </c>
      <c r="K838" s="475">
        <f t="shared" si="94"/>
        <v>0</v>
      </c>
      <c r="L838" s="475">
        <f t="shared" si="95"/>
        <v>0</v>
      </c>
    </row>
    <row r="839" spans="1:12" ht="24">
      <c r="A839" s="57" t="s">
        <v>22</v>
      </c>
      <c r="B839" s="52" t="s">
        <v>673</v>
      </c>
      <c r="C839" s="55" t="s">
        <v>519</v>
      </c>
      <c r="D839" s="55" t="s">
        <v>530</v>
      </c>
      <c r="E839" s="55" t="s">
        <v>39</v>
      </c>
      <c r="F839" s="55" t="s">
        <v>1486</v>
      </c>
      <c r="G839" s="437">
        <v>0.9</v>
      </c>
      <c r="H839" s="437">
        <v>1</v>
      </c>
      <c r="J839" s="437">
        <v>0</v>
      </c>
      <c r="K839" s="475">
        <f t="shared" si="94"/>
        <v>0</v>
      </c>
      <c r="L839" s="475">
        <f t="shared" si="95"/>
        <v>0</v>
      </c>
    </row>
    <row r="840" spans="1:12" ht="15">
      <c r="A840" s="206" t="s">
        <v>767</v>
      </c>
      <c r="B840" s="52" t="s">
        <v>673</v>
      </c>
      <c r="C840" s="55" t="s">
        <v>519</v>
      </c>
      <c r="D840" s="55" t="s">
        <v>530</v>
      </c>
      <c r="E840" s="55" t="s">
        <v>39</v>
      </c>
      <c r="F840" s="55" t="s">
        <v>768</v>
      </c>
      <c r="G840" s="436">
        <f>G841</f>
        <v>31.5</v>
      </c>
      <c r="H840" s="436">
        <f>H841</f>
        <v>604.5</v>
      </c>
      <c r="J840" s="436">
        <f>J841</f>
        <v>490.5</v>
      </c>
      <c r="K840" s="475">
        <f aca="true" t="shared" si="96" ref="K840:K849">J840/G840*100</f>
        <v>1557.142857142857</v>
      </c>
      <c r="L840" s="475">
        <f aca="true" t="shared" si="97" ref="L840:L866">J840/H840*100</f>
        <v>81.14143920595534</v>
      </c>
    </row>
    <row r="841" spans="1:12" ht="15">
      <c r="A841" s="62" t="s">
        <v>1080</v>
      </c>
      <c r="B841" s="52" t="s">
        <v>673</v>
      </c>
      <c r="C841" s="55" t="s">
        <v>519</v>
      </c>
      <c r="D841" s="55" t="s">
        <v>530</v>
      </c>
      <c r="E841" s="55" t="s">
        <v>39</v>
      </c>
      <c r="F841" s="55" t="s">
        <v>1081</v>
      </c>
      <c r="G841" s="437">
        <v>31.5</v>
      </c>
      <c r="H841" s="437">
        <f>196.5+408</f>
        <v>604.5</v>
      </c>
      <c r="J841" s="437">
        <v>490.5</v>
      </c>
      <c r="K841" s="475">
        <f t="shared" si="96"/>
        <v>1557.142857142857</v>
      </c>
      <c r="L841" s="475">
        <f t="shared" si="97"/>
        <v>81.14143920595534</v>
      </c>
    </row>
    <row r="842" spans="1:12" ht="15">
      <c r="A842" s="57" t="s">
        <v>801</v>
      </c>
      <c r="B842" s="52" t="s">
        <v>673</v>
      </c>
      <c r="C842" s="55" t="s">
        <v>519</v>
      </c>
      <c r="D842" s="55" t="s">
        <v>530</v>
      </c>
      <c r="E842" s="55" t="s">
        <v>40</v>
      </c>
      <c r="F842" s="55" t="s">
        <v>920</v>
      </c>
      <c r="G842" s="436">
        <f>G843</f>
        <v>300</v>
      </c>
      <c r="H842" s="436">
        <f>H843</f>
        <v>300</v>
      </c>
      <c r="J842" s="436">
        <f>J843</f>
        <v>48</v>
      </c>
      <c r="K842" s="475">
        <f t="shared" si="96"/>
        <v>16</v>
      </c>
      <c r="L842" s="475">
        <f t="shared" si="97"/>
        <v>16</v>
      </c>
    </row>
    <row r="843" spans="1:12" ht="15">
      <c r="A843" s="206" t="s">
        <v>767</v>
      </c>
      <c r="B843" s="52" t="s">
        <v>673</v>
      </c>
      <c r="C843" s="55" t="s">
        <v>519</v>
      </c>
      <c r="D843" s="55" t="s">
        <v>530</v>
      </c>
      <c r="E843" s="55" t="s">
        <v>40</v>
      </c>
      <c r="F843" s="55" t="s">
        <v>768</v>
      </c>
      <c r="G843" s="436">
        <f>G844</f>
        <v>300</v>
      </c>
      <c r="H843" s="436">
        <f>H844</f>
        <v>300</v>
      </c>
      <c r="J843" s="436">
        <f>J844</f>
        <v>48</v>
      </c>
      <c r="K843" s="475">
        <f t="shared" si="96"/>
        <v>16</v>
      </c>
      <c r="L843" s="475">
        <f t="shared" si="97"/>
        <v>16</v>
      </c>
    </row>
    <row r="844" spans="1:12" ht="15">
      <c r="A844" s="62" t="s">
        <v>1080</v>
      </c>
      <c r="B844" s="52" t="s">
        <v>673</v>
      </c>
      <c r="C844" s="55" t="s">
        <v>519</v>
      </c>
      <c r="D844" s="55" t="s">
        <v>530</v>
      </c>
      <c r="E844" s="55" t="s">
        <v>40</v>
      </c>
      <c r="F844" s="55" t="s">
        <v>1081</v>
      </c>
      <c r="G844" s="437">
        <v>300</v>
      </c>
      <c r="H844" s="437">
        <v>300</v>
      </c>
      <c r="J844" s="437">
        <v>48</v>
      </c>
      <c r="K844" s="475">
        <f t="shared" si="96"/>
        <v>16</v>
      </c>
      <c r="L844" s="475">
        <f t="shared" si="97"/>
        <v>16</v>
      </c>
    </row>
    <row r="845" spans="1:12" ht="24">
      <c r="A845" s="57" t="s">
        <v>618</v>
      </c>
      <c r="B845" s="52" t="s">
        <v>673</v>
      </c>
      <c r="C845" s="55" t="s">
        <v>519</v>
      </c>
      <c r="D845" s="55" t="s">
        <v>530</v>
      </c>
      <c r="E845" s="55" t="s">
        <v>41</v>
      </c>
      <c r="F845" s="55" t="s">
        <v>920</v>
      </c>
      <c r="G845" s="436">
        <f>G846+G848</f>
        <v>1000</v>
      </c>
      <c r="H845" s="436">
        <f>H846+H848</f>
        <v>5060.9</v>
      </c>
      <c r="J845" s="436">
        <f>J846+J848</f>
        <v>4470.6</v>
      </c>
      <c r="K845" s="475">
        <f t="shared" si="96"/>
        <v>447.06</v>
      </c>
      <c r="L845" s="475">
        <f t="shared" si="97"/>
        <v>88.33606670750264</v>
      </c>
    </row>
    <row r="846" spans="1:12" ht="15">
      <c r="A846" s="57" t="s">
        <v>21</v>
      </c>
      <c r="B846" s="52" t="s">
        <v>673</v>
      </c>
      <c r="C846" s="55" t="s">
        <v>519</v>
      </c>
      <c r="D846" s="55" t="s">
        <v>530</v>
      </c>
      <c r="E846" s="55" t="s">
        <v>41</v>
      </c>
      <c r="F846" s="55" t="s">
        <v>528</v>
      </c>
      <c r="G846" s="436">
        <f>G847</f>
        <v>20</v>
      </c>
      <c r="H846" s="436">
        <f>H847</f>
        <v>20</v>
      </c>
      <c r="J846" s="436">
        <f>J847</f>
        <v>3.6</v>
      </c>
      <c r="K846" s="475">
        <f t="shared" si="96"/>
        <v>18</v>
      </c>
      <c r="L846" s="475">
        <f t="shared" si="97"/>
        <v>18</v>
      </c>
    </row>
    <row r="847" spans="1:12" ht="24">
      <c r="A847" s="57" t="s">
        <v>22</v>
      </c>
      <c r="B847" s="52" t="s">
        <v>673</v>
      </c>
      <c r="C847" s="55" t="s">
        <v>519</v>
      </c>
      <c r="D847" s="55" t="s">
        <v>530</v>
      </c>
      <c r="E847" s="55" t="s">
        <v>41</v>
      </c>
      <c r="F847" s="55" t="s">
        <v>1486</v>
      </c>
      <c r="G847" s="437">
        <v>20</v>
      </c>
      <c r="H847" s="437">
        <v>20</v>
      </c>
      <c r="J847" s="437">
        <v>3.6</v>
      </c>
      <c r="K847" s="475">
        <f t="shared" si="96"/>
        <v>18</v>
      </c>
      <c r="L847" s="475">
        <f t="shared" si="97"/>
        <v>18</v>
      </c>
    </row>
    <row r="848" spans="1:12" ht="15">
      <c r="A848" s="206" t="s">
        <v>767</v>
      </c>
      <c r="B848" s="52" t="s">
        <v>673</v>
      </c>
      <c r="C848" s="55" t="s">
        <v>519</v>
      </c>
      <c r="D848" s="55" t="s">
        <v>530</v>
      </c>
      <c r="E848" s="55" t="s">
        <v>41</v>
      </c>
      <c r="F848" s="55" t="s">
        <v>768</v>
      </c>
      <c r="G848" s="436">
        <f>G849</f>
        <v>980</v>
      </c>
      <c r="H848" s="436">
        <f>H849</f>
        <v>5040.9</v>
      </c>
      <c r="J848" s="436">
        <f>J849</f>
        <v>4467</v>
      </c>
      <c r="K848" s="475">
        <f t="shared" si="96"/>
        <v>455.81632653061223</v>
      </c>
      <c r="L848" s="475">
        <f t="shared" si="97"/>
        <v>88.61512825090759</v>
      </c>
    </row>
    <row r="849" spans="1:12" ht="15">
      <c r="A849" s="62" t="s">
        <v>1080</v>
      </c>
      <c r="B849" s="52" t="s">
        <v>673</v>
      </c>
      <c r="C849" s="55" t="s">
        <v>519</v>
      </c>
      <c r="D849" s="55" t="s">
        <v>530</v>
      </c>
      <c r="E849" s="55" t="s">
        <v>41</v>
      </c>
      <c r="F849" s="55" t="s">
        <v>1081</v>
      </c>
      <c r="G849" s="437">
        <v>980</v>
      </c>
      <c r="H849" s="437">
        <f>4007.6+313.3+600+60+60</f>
        <v>5040.9</v>
      </c>
      <c r="J849" s="437">
        <v>4467</v>
      </c>
      <c r="K849" s="475">
        <f t="shared" si="96"/>
        <v>455.81632653061223</v>
      </c>
      <c r="L849" s="475">
        <f t="shared" si="97"/>
        <v>88.61512825090759</v>
      </c>
    </row>
    <row r="850" spans="1:12" ht="24">
      <c r="A850" s="57" t="s">
        <v>942</v>
      </c>
      <c r="B850" s="52" t="s">
        <v>673</v>
      </c>
      <c r="C850" s="55" t="s">
        <v>519</v>
      </c>
      <c r="D850" s="55" t="s">
        <v>530</v>
      </c>
      <c r="E850" s="55" t="s">
        <v>42</v>
      </c>
      <c r="F850" s="55" t="s">
        <v>768</v>
      </c>
      <c r="G850" s="436">
        <f>G851</f>
        <v>0</v>
      </c>
      <c r="H850" s="436">
        <f>H851</f>
        <v>421.9</v>
      </c>
      <c r="J850" s="436">
        <f>J851</f>
        <v>370.3</v>
      </c>
      <c r="K850" s="475">
        <v>0</v>
      </c>
      <c r="L850" s="475">
        <f t="shared" si="97"/>
        <v>87.7696136525243</v>
      </c>
    </row>
    <row r="851" spans="1:12" ht="15">
      <c r="A851" s="62" t="s">
        <v>1080</v>
      </c>
      <c r="B851" s="52" t="s">
        <v>673</v>
      </c>
      <c r="C851" s="55" t="s">
        <v>519</v>
      </c>
      <c r="D851" s="55" t="s">
        <v>530</v>
      </c>
      <c r="E851" s="55" t="s">
        <v>42</v>
      </c>
      <c r="F851" s="55" t="s">
        <v>1081</v>
      </c>
      <c r="G851" s="437">
        <v>0</v>
      </c>
      <c r="H851" s="437">
        <v>421.9</v>
      </c>
      <c r="J851" s="437">
        <v>370.3</v>
      </c>
      <c r="K851" s="475">
        <v>0</v>
      </c>
      <c r="L851" s="475">
        <f t="shared" si="97"/>
        <v>87.7696136525243</v>
      </c>
    </row>
    <row r="852" spans="1:12" ht="24">
      <c r="A852" s="57" t="s">
        <v>943</v>
      </c>
      <c r="B852" s="52" t="s">
        <v>673</v>
      </c>
      <c r="C852" s="55" t="s">
        <v>519</v>
      </c>
      <c r="D852" s="55" t="s">
        <v>530</v>
      </c>
      <c r="E852" s="55" t="s">
        <v>43</v>
      </c>
      <c r="F852" s="55" t="s">
        <v>920</v>
      </c>
      <c r="G852" s="436">
        <f>G853+G855</f>
        <v>3000</v>
      </c>
      <c r="H852" s="436">
        <f>H853+H855</f>
        <v>3000</v>
      </c>
      <c r="J852" s="436">
        <f>J853+J855</f>
        <v>2950.7</v>
      </c>
      <c r="K852" s="475">
        <f aca="true" t="shared" si="98" ref="K852:K862">J852/G852*100</f>
        <v>98.35666666666665</v>
      </c>
      <c r="L852" s="475">
        <f t="shared" si="97"/>
        <v>98.35666666666665</v>
      </c>
    </row>
    <row r="853" spans="1:12" ht="15">
      <c r="A853" s="57" t="s">
        <v>21</v>
      </c>
      <c r="B853" s="52" t="s">
        <v>673</v>
      </c>
      <c r="C853" s="55" t="s">
        <v>519</v>
      </c>
      <c r="D853" s="55" t="s">
        <v>530</v>
      </c>
      <c r="E853" s="55" t="s">
        <v>43</v>
      </c>
      <c r="F853" s="55" t="s">
        <v>528</v>
      </c>
      <c r="G853" s="436">
        <f>G854</f>
        <v>30</v>
      </c>
      <c r="H853" s="436">
        <f>H854</f>
        <v>50</v>
      </c>
      <c r="J853" s="436">
        <f>J854</f>
        <v>0.7</v>
      </c>
      <c r="K853" s="475">
        <f t="shared" si="98"/>
        <v>2.333333333333333</v>
      </c>
      <c r="L853" s="475">
        <f t="shared" si="97"/>
        <v>1.4</v>
      </c>
    </row>
    <row r="854" spans="1:12" ht="24">
      <c r="A854" s="57" t="s">
        <v>22</v>
      </c>
      <c r="B854" s="52" t="s">
        <v>673</v>
      </c>
      <c r="C854" s="55" t="s">
        <v>519</v>
      </c>
      <c r="D854" s="55" t="s">
        <v>530</v>
      </c>
      <c r="E854" s="55" t="s">
        <v>43</v>
      </c>
      <c r="F854" s="55" t="s">
        <v>1486</v>
      </c>
      <c r="G854" s="437">
        <v>30</v>
      </c>
      <c r="H854" s="437">
        <v>50</v>
      </c>
      <c r="J854" s="437">
        <v>0.7</v>
      </c>
      <c r="K854" s="475">
        <f t="shared" si="98"/>
        <v>2.333333333333333</v>
      </c>
      <c r="L854" s="475">
        <f t="shared" si="97"/>
        <v>1.4</v>
      </c>
    </row>
    <row r="855" spans="1:12" ht="15">
      <c r="A855" s="206" t="s">
        <v>767</v>
      </c>
      <c r="B855" s="52" t="s">
        <v>673</v>
      </c>
      <c r="C855" s="55" t="s">
        <v>519</v>
      </c>
      <c r="D855" s="55" t="s">
        <v>530</v>
      </c>
      <c r="E855" s="55" t="s">
        <v>43</v>
      </c>
      <c r="F855" s="55" t="s">
        <v>768</v>
      </c>
      <c r="G855" s="436">
        <f>G856</f>
        <v>2970</v>
      </c>
      <c r="H855" s="436">
        <f>H856</f>
        <v>2950</v>
      </c>
      <c r="J855" s="436">
        <f>J856</f>
        <v>2950</v>
      </c>
      <c r="K855" s="475">
        <f t="shared" si="98"/>
        <v>99.32659932659934</v>
      </c>
      <c r="L855" s="475">
        <f t="shared" si="97"/>
        <v>100</v>
      </c>
    </row>
    <row r="856" spans="1:12" ht="15">
      <c r="A856" s="62" t="s">
        <v>1080</v>
      </c>
      <c r="B856" s="52" t="s">
        <v>673</v>
      </c>
      <c r="C856" s="55" t="s">
        <v>519</v>
      </c>
      <c r="D856" s="55" t="s">
        <v>530</v>
      </c>
      <c r="E856" s="55" t="s">
        <v>43</v>
      </c>
      <c r="F856" s="55" t="s">
        <v>1081</v>
      </c>
      <c r="G856" s="437">
        <v>2970</v>
      </c>
      <c r="H856" s="437">
        <v>2950</v>
      </c>
      <c r="J856" s="437">
        <v>2950</v>
      </c>
      <c r="K856" s="475">
        <f t="shared" si="98"/>
        <v>99.32659932659934</v>
      </c>
      <c r="L856" s="475">
        <f t="shared" si="97"/>
        <v>100</v>
      </c>
    </row>
    <row r="857" spans="1:12" ht="60">
      <c r="A857" s="209" t="s">
        <v>44</v>
      </c>
      <c r="B857" s="52" t="s">
        <v>673</v>
      </c>
      <c r="C857" s="55" t="s">
        <v>519</v>
      </c>
      <c r="D857" s="55" t="s">
        <v>530</v>
      </c>
      <c r="E857" s="55" t="s">
        <v>45</v>
      </c>
      <c r="F857" s="55" t="s">
        <v>920</v>
      </c>
      <c r="G857" s="436">
        <f>G858</f>
        <v>1270</v>
      </c>
      <c r="H857" s="436">
        <f>H858</f>
        <v>1270</v>
      </c>
      <c r="J857" s="436">
        <f>J858</f>
        <v>1269.7</v>
      </c>
      <c r="K857" s="475">
        <f t="shared" si="98"/>
        <v>99.97637795275591</v>
      </c>
      <c r="L857" s="475">
        <f t="shared" si="97"/>
        <v>99.97637795275591</v>
      </c>
    </row>
    <row r="858" spans="1:12" ht="15">
      <c r="A858" s="206" t="s">
        <v>767</v>
      </c>
      <c r="B858" s="52" t="s">
        <v>673</v>
      </c>
      <c r="C858" s="55" t="s">
        <v>519</v>
      </c>
      <c r="D858" s="55" t="s">
        <v>530</v>
      </c>
      <c r="E858" s="55" t="s">
        <v>45</v>
      </c>
      <c r="F858" s="55" t="s">
        <v>768</v>
      </c>
      <c r="G858" s="436">
        <f>G859</f>
        <v>1270</v>
      </c>
      <c r="H858" s="436">
        <f>H859</f>
        <v>1270</v>
      </c>
      <c r="J858" s="436">
        <f>J859</f>
        <v>1269.7</v>
      </c>
      <c r="K858" s="475">
        <f t="shared" si="98"/>
        <v>99.97637795275591</v>
      </c>
      <c r="L858" s="475">
        <f t="shared" si="97"/>
        <v>99.97637795275591</v>
      </c>
    </row>
    <row r="859" spans="1:12" ht="24">
      <c r="A859" s="57" t="s">
        <v>1079</v>
      </c>
      <c r="B859" s="52" t="s">
        <v>673</v>
      </c>
      <c r="C859" s="55" t="s">
        <v>519</v>
      </c>
      <c r="D859" s="55" t="s">
        <v>530</v>
      </c>
      <c r="E859" s="55" t="s">
        <v>45</v>
      </c>
      <c r="F859" s="55" t="s">
        <v>1074</v>
      </c>
      <c r="G859" s="437">
        <v>1270</v>
      </c>
      <c r="H859" s="437">
        <v>1270</v>
      </c>
      <c r="J859" s="437">
        <v>1269.7</v>
      </c>
      <c r="K859" s="475">
        <f t="shared" si="98"/>
        <v>99.97637795275591</v>
      </c>
      <c r="L859" s="475">
        <f t="shared" si="97"/>
        <v>99.97637795275591</v>
      </c>
    </row>
    <row r="860" spans="1:12" ht="24">
      <c r="A860" s="57" t="s">
        <v>800</v>
      </c>
      <c r="B860" s="52" t="s">
        <v>673</v>
      </c>
      <c r="C860" s="55" t="s">
        <v>519</v>
      </c>
      <c r="D860" s="55" t="s">
        <v>530</v>
      </c>
      <c r="E860" s="55" t="s">
        <v>47</v>
      </c>
      <c r="F860" s="55" t="s">
        <v>920</v>
      </c>
      <c r="G860" s="436">
        <f>G861</f>
        <v>4000</v>
      </c>
      <c r="H860" s="436">
        <f>H861</f>
        <v>4000</v>
      </c>
      <c r="J860" s="436">
        <f>J861</f>
        <v>3482.5</v>
      </c>
      <c r="K860" s="475">
        <f t="shared" si="98"/>
        <v>87.0625</v>
      </c>
      <c r="L860" s="475">
        <f t="shared" si="97"/>
        <v>87.0625</v>
      </c>
    </row>
    <row r="861" spans="1:12" ht="15">
      <c r="A861" s="206" t="s">
        <v>767</v>
      </c>
      <c r="B861" s="52" t="s">
        <v>673</v>
      </c>
      <c r="C861" s="55" t="s">
        <v>519</v>
      </c>
      <c r="D861" s="55" t="s">
        <v>530</v>
      </c>
      <c r="E861" s="55" t="s">
        <v>47</v>
      </c>
      <c r="F861" s="55" t="s">
        <v>768</v>
      </c>
      <c r="G861" s="436">
        <f>G862</f>
        <v>4000</v>
      </c>
      <c r="H861" s="436">
        <f>H862</f>
        <v>4000</v>
      </c>
      <c r="J861" s="436">
        <f>J862</f>
        <v>3482.5</v>
      </c>
      <c r="K861" s="475">
        <f t="shared" si="98"/>
        <v>87.0625</v>
      </c>
      <c r="L861" s="475">
        <f t="shared" si="97"/>
        <v>87.0625</v>
      </c>
    </row>
    <row r="862" spans="1:12" ht="15">
      <c r="A862" s="62" t="s">
        <v>1080</v>
      </c>
      <c r="B862" s="52" t="s">
        <v>673</v>
      </c>
      <c r="C862" s="55" t="s">
        <v>519</v>
      </c>
      <c r="D862" s="55" t="s">
        <v>530</v>
      </c>
      <c r="E862" s="55" t="s">
        <v>47</v>
      </c>
      <c r="F862" s="55" t="s">
        <v>1081</v>
      </c>
      <c r="G862" s="437">
        <v>4000</v>
      </c>
      <c r="H862" s="437">
        <v>4000</v>
      </c>
      <c r="J862" s="437">
        <v>3482.5</v>
      </c>
      <c r="K862" s="475">
        <f t="shared" si="98"/>
        <v>87.0625</v>
      </c>
      <c r="L862" s="475">
        <f t="shared" si="97"/>
        <v>87.0625</v>
      </c>
    </row>
    <row r="863" spans="1:12" ht="36">
      <c r="A863" s="57" t="s">
        <v>48</v>
      </c>
      <c r="B863" s="52" t="s">
        <v>673</v>
      </c>
      <c r="C863" s="55" t="s">
        <v>519</v>
      </c>
      <c r="D863" s="55" t="s">
        <v>530</v>
      </c>
      <c r="E863" s="55" t="s">
        <v>49</v>
      </c>
      <c r="F863" s="55" t="s">
        <v>920</v>
      </c>
      <c r="G863" s="436">
        <f>G864</f>
        <v>0</v>
      </c>
      <c r="H863" s="436">
        <f>H864</f>
        <v>1462.3</v>
      </c>
      <c r="J863" s="436">
        <f>J864</f>
        <v>1319.9</v>
      </c>
      <c r="K863" s="475">
        <v>0</v>
      </c>
      <c r="L863" s="475">
        <f t="shared" si="97"/>
        <v>90.26191615947481</v>
      </c>
    </row>
    <row r="864" spans="1:12" ht="15">
      <c r="A864" s="126" t="s">
        <v>767</v>
      </c>
      <c r="B864" s="52" t="s">
        <v>673</v>
      </c>
      <c r="C864" s="55" t="s">
        <v>519</v>
      </c>
      <c r="D864" s="55" t="s">
        <v>530</v>
      </c>
      <c r="E864" s="55" t="s">
        <v>49</v>
      </c>
      <c r="F864" s="55" t="s">
        <v>768</v>
      </c>
      <c r="G864" s="436">
        <f>G865</f>
        <v>0</v>
      </c>
      <c r="H864" s="436">
        <f>H865</f>
        <v>1462.3</v>
      </c>
      <c r="J864" s="436">
        <f>J865</f>
        <v>1319.9</v>
      </c>
      <c r="K864" s="475">
        <v>0</v>
      </c>
      <c r="L864" s="475">
        <f t="shared" si="97"/>
        <v>90.26191615947481</v>
      </c>
    </row>
    <row r="865" spans="1:12" ht="15">
      <c r="A865" s="62" t="s">
        <v>1080</v>
      </c>
      <c r="B865" s="52" t="s">
        <v>673</v>
      </c>
      <c r="C865" s="55" t="s">
        <v>519</v>
      </c>
      <c r="D865" s="55" t="s">
        <v>530</v>
      </c>
      <c r="E865" s="55" t="s">
        <v>49</v>
      </c>
      <c r="F865" s="55" t="s">
        <v>1081</v>
      </c>
      <c r="G865" s="437">
        <v>0</v>
      </c>
      <c r="H865" s="437">
        <v>1462.3</v>
      </c>
      <c r="J865" s="437">
        <v>1319.9</v>
      </c>
      <c r="K865" s="475">
        <v>0</v>
      </c>
      <c r="L865" s="475">
        <f t="shared" si="97"/>
        <v>90.26191615947481</v>
      </c>
    </row>
    <row r="866" spans="1:12" ht="24">
      <c r="A866" s="57" t="s">
        <v>557</v>
      </c>
      <c r="B866" s="52" t="s">
        <v>673</v>
      </c>
      <c r="C866" s="55" t="s">
        <v>519</v>
      </c>
      <c r="D866" s="55" t="s">
        <v>530</v>
      </c>
      <c r="E866" s="55" t="s">
        <v>50</v>
      </c>
      <c r="F866" s="55" t="s">
        <v>920</v>
      </c>
      <c r="G866" s="436">
        <f>G867+G869</f>
        <v>21058</v>
      </c>
      <c r="H866" s="436">
        <f>H867+H869</f>
        <v>24457.999999999996</v>
      </c>
      <c r="J866" s="436">
        <f>J867+J869</f>
        <v>24401.699999999997</v>
      </c>
      <c r="K866" s="475">
        <f aca="true" t="shared" si="99" ref="K866:K874">J866/G866*100</f>
        <v>115.87852597587613</v>
      </c>
      <c r="L866" s="475">
        <f t="shared" si="97"/>
        <v>99.7698094692943</v>
      </c>
    </row>
    <row r="867" spans="1:12" ht="15">
      <c r="A867" s="57" t="s">
        <v>21</v>
      </c>
      <c r="B867" s="52" t="s">
        <v>673</v>
      </c>
      <c r="C867" s="55" t="s">
        <v>519</v>
      </c>
      <c r="D867" s="55" t="s">
        <v>530</v>
      </c>
      <c r="E867" s="55" t="s">
        <v>50</v>
      </c>
      <c r="F867" s="55" t="s">
        <v>528</v>
      </c>
      <c r="G867" s="436">
        <f>G868</f>
        <v>156.8</v>
      </c>
      <c r="H867" s="436">
        <f>H868</f>
        <v>182.00000000000003</v>
      </c>
      <c r="J867" s="436">
        <f>J868</f>
        <v>181.6</v>
      </c>
      <c r="K867" s="475">
        <f t="shared" si="99"/>
        <v>115.81632653061223</v>
      </c>
      <c r="L867" s="475">
        <f aca="true" t="shared" si="100" ref="L867:L874">J867/H867*100</f>
        <v>99.78021978021975</v>
      </c>
    </row>
    <row r="868" spans="1:12" ht="24">
      <c r="A868" s="57" t="s">
        <v>22</v>
      </c>
      <c r="B868" s="52" t="s">
        <v>673</v>
      </c>
      <c r="C868" s="55" t="s">
        <v>519</v>
      </c>
      <c r="D868" s="55" t="s">
        <v>530</v>
      </c>
      <c r="E868" s="55" t="s">
        <v>50</v>
      </c>
      <c r="F868" s="55" t="s">
        <v>1486</v>
      </c>
      <c r="G868" s="437">
        <f>156.8</f>
        <v>156.8</v>
      </c>
      <c r="H868" s="437">
        <f>156.8+17.9-0.1+7.4</f>
        <v>182.00000000000003</v>
      </c>
      <c r="J868" s="437">
        <v>181.6</v>
      </c>
      <c r="K868" s="475">
        <f t="shared" si="99"/>
        <v>115.81632653061223</v>
      </c>
      <c r="L868" s="475">
        <f t="shared" si="100"/>
        <v>99.78021978021975</v>
      </c>
    </row>
    <row r="869" spans="1:12" ht="15">
      <c r="A869" s="206" t="s">
        <v>767</v>
      </c>
      <c r="B869" s="52" t="s">
        <v>673</v>
      </c>
      <c r="C869" s="55" t="s">
        <v>519</v>
      </c>
      <c r="D869" s="55" t="s">
        <v>530</v>
      </c>
      <c r="E869" s="55" t="s">
        <v>50</v>
      </c>
      <c r="F869" s="55" t="s">
        <v>768</v>
      </c>
      <c r="G869" s="436">
        <f>G870</f>
        <v>20901.2</v>
      </c>
      <c r="H869" s="436">
        <f>H870</f>
        <v>24275.999999999996</v>
      </c>
      <c r="J869" s="436">
        <f>J870</f>
        <v>24220.1</v>
      </c>
      <c r="K869" s="475">
        <f t="shared" si="99"/>
        <v>115.87899259372666</v>
      </c>
      <c r="L869" s="475">
        <f t="shared" si="100"/>
        <v>99.76973142198057</v>
      </c>
    </row>
    <row r="870" spans="1:12" ht="24">
      <c r="A870" s="57" t="s">
        <v>1079</v>
      </c>
      <c r="B870" s="52" t="s">
        <v>673</v>
      </c>
      <c r="C870" s="55" t="s">
        <v>519</v>
      </c>
      <c r="D870" s="55" t="s">
        <v>530</v>
      </c>
      <c r="E870" s="55" t="s">
        <v>50</v>
      </c>
      <c r="F870" s="55" t="s">
        <v>1074</v>
      </c>
      <c r="G870" s="437">
        <v>20901.2</v>
      </c>
      <c r="H870" s="437">
        <f>21058-156.8+2382.1+992.6+0.1</f>
        <v>24275.999999999996</v>
      </c>
      <c r="J870" s="437">
        <v>24220.1</v>
      </c>
      <c r="K870" s="475">
        <f t="shared" si="99"/>
        <v>115.87899259372666</v>
      </c>
      <c r="L870" s="475">
        <f t="shared" si="100"/>
        <v>99.76973142198057</v>
      </c>
    </row>
    <row r="871" spans="1:12" ht="15">
      <c r="A871" s="57" t="s">
        <v>51</v>
      </c>
      <c r="B871" s="52" t="s">
        <v>673</v>
      </c>
      <c r="C871" s="55" t="s">
        <v>519</v>
      </c>
      <c r="D871" s="55" t="s">
        <v>530</v>
      </c>
      <c r="E871" s="55" t="s">
        <v>52</v>
      </c>
      <c r="F871" s="55"/>
      <c r="G871" s="436">
        <f aca="true" t="shared" si="101" ref="G871:H873">G872</f>
        <v>500</v>
      </c>
      <c r="H871" s="436">
        <f t="shared" si="101"/>
        <v>500</v>
      </c>
      <c r="J871" s="436">
        <f>J872</f>
        <v>500</v>
      </c>
      <c r="K871" s="475">
        <f t="shared" si="99"/>
        <v>100</v>
      </c>
      <c r="L871" s="475">
        <f t="shared" si="100"/>
        <v>100</v>
      </c>
    </row>
    <row r="872" spans="1:12" ht="15">
      <c r="A872" s="57" t="s">
        <v>53</v>
      </c>
      <c r="B872" s="52" t="s">
        <v>673</v>
      </c>
      <c r="C872" s="55" t="s">
        <v>519</v>
      </c>
      <c r="D872" s="55" t="s">
        <v>530</v>
      </c>
      <c r="E872" s="55" t="s">
        <v>54</v>
      </c>
      <c r="F872" s="55" t="s">
        <v>920</v>
      </c>
      <c r="G872" s="436">
        <f t="shared" si="101"/>
        <v>500</v>
      </c>
      <c r="H872" s="436">
        <f t="shared" si="101"/>
        <v>500</v>
      </c>
      <c r="J872" s="436">
        <f>J873</f>
        <v>500</v>
      </c>
      <c r="K872" s="475">
        <f t="shared" si="99"/>
        <v>100</v>
      </c>
      <c r="L872" s="475">
        <f t="shared" si="100"/>
        <v>100</v>
      </c>
    </row>
    <row r="873" spans="1:12" ht="15">
      <c r="A873" s="404" t="s">
        <v>767</v>
      </c>
      <c r="B873" s="52" t="s">
        <v>673</v>
      </c>
      <c r="C873" s="55" t="s">
        <v>519</v>
      </c>
      <c r="D873" s="55" t="s">
        <v>530</v>
      </c>
      <c r="E873" s="55" t="s">
        <v>54</v>
      </c>
      <c r="F873" s="55" t="s">
        <v>768</v>
      </c>
      <c r="G873" s="436">
        <f t="shared" si="101"/>
        <v>500</v>
      </c>
      <c r="H873" s="436">
        <f t="shared" si="101"/>
        <v>500</v>
      </c>
      <c r="J873" s="436">
        <f>J874</f>
        <v>500</v>
      </c>
      <c r="K873" s="475">
        <f t="shared" si="99"/>
        <v>100</v>
      </c>
      <c r="L873" s="475">
        <f t="shared" si="100"/>
        <v>100</v>
      </c>
    </row>
    <row r="874" spans="1:12" ht="24.75" customHeight="1">
      <c r="A874" s="62" t="s">
        <v>1080</v>
      </c>
      <c r="B874" s="52" t="s">
        <v>673</v>
      </c>
      <c r="C874" s="55" t="s">
        <v>519</v>
      </c>
      <c r="D874" s="55" t="s">
        <v>530</v>
      </c>
      <c r="E874" s="55" t="s">
        <v>54</v>
      </c>
      <c r="F874" s="55" t="s">
        <v>1081</v>
      </c>
      <c r="G874" s="437">
        <v>500</v>
      </c>
      <c r="H874" s="437">
        <v>500</v>
      </c>
      <c r="J874" s="437">
        <v>500</v>
      </c>
      <c r="K874" s="475">
        <f t="shared" si="99"/>
        <v>100</v>
      </c>
      <c r="L874" s="475">
        <f t="shared" si="100"/>
        <v>100</v>
      </c>
    </row>
    <row r="875" spans="1:12" ht="24">
      <c r="A875" s="56" t="s">
        <v>687</v>
      </c>
      <c r="B875" s="52" t="s">
        <v>673</v>
      </c>
      <c r="C875" s="55" t="s">
        <v>519</v>
      </c>
      <c r="D875" s="55" t="s">
        <v>530</v>
      </c>
      <c r="E875" s="55" t="s">
        <v>56</v>
      </c>
      <c r="F875" s="55"/>
      <c r="G875" s="445">
        <f>G876+G891+G894+G897+G885+G888</f>
        <v>4325.3</v>
      </c>
      <c r="H875" s="445">
        <f>H876+H891+H894+H897</f>
        <v>12711.400000000001</v>
      </c>
      <c r="J875" s="445">
        <f>J876+J891+J894+J897</f>
        <v>7937.4</v>
      </c>
      <c r="K875" s="460">
        <f>J875/G875*100</f>
        <v>183.51097033731762</v>
      </c>
      <c r="L875" s="460">
        <f aca="true" t="shared" si="102" ref="L875:L890">J875/H875*100</f>
        <v>62.443161256824574</v>
      </c>
    </row>
    <row r="876" spans="1:12" ht="24">
      <c r="A876" s="62" t="s">
        <v>57</v>
      </c>
      <c r="B876" s="52" t="s">
        <v>673</v>
      </c>
      <c r="C876" s="55" t="s">
        <v>519</v>
      </c>
      <c r="D876" s="55" t="s">
        <v>530</v>
      </c>
      <c r="E876" s="55" t="s">
        <v>58</v>
      </c>
      <c r="F876" s="55" t="s">
        <v>920</v>
      </c>
      <c r="G876" s="445">
        <f>G877+G879+G882</f>
        <v>3200</v>
      </c>
      <c r="H876" s="445">
        <f>H877+H879+H882+H885+H888</f>
        <v>9023.2</v>
      </c>
      <c r="J876" s="445">
        <f>J877+J879+J882+J885+J888</f>
        <v>7937.4</v>
      </c>
      <c r="K876" s="475">
        <f>J876/G876*100</f>
        <v>248.04375</v>
      </c>
      <c r="L876" s="475">
        <f t="shared" si="102"/>
        <v>87.96657505097969</v>
      </c>
    </row>
    <row r="877" spans="1:12" ht="15">
      <c r="A877" s="206" t="s">
        <v>767</v>
      </c>
      <c r="B877" s="52" t="s">
        <v>673</v>
      </c>
      <c r="C877" s="55" t="s">
        <v>519</v>
      </c>
      <c r="D877" s="55" t="s">
        <v>530</v>
      </c>
      <c r="E877" s="55" t="s">
        <v>59</v>
      </c>
      <c r="F877" s="55" t="s">
        <v>768</v>
      </c>
      <c r="G877" s="445">
        <f>G878</f>
        <v>3200</v>
      </c>
      <c r="H877" s="445">
        <f>H878</f>
        <v>3911</v>
      </c>
      <c r="J877" s="445">
        <f>J878</f>
        <v>3390.6</v>
      </c>
      <c r="K877" s="475">
        <f>J877/G877*100</f>
        <v>105.95625</v>
      </c>
      <c r="L877" s="475">
        <f t="shared" si="102"/>
        <v>86.69394016875479</v>
      </c>
    </row>
    <row r="878" spans="1:12" ht="24">
      <c r="A878" s="57" t="s">
        <v>1079</v>
      </c>
      <c r="B878" s="52" t="s">
        <v>673</v>
      </c>
      <c r="C878" s="55" t="s">
        <v>519</v>
      </c>
      <c r="D878" s="55" t="s">
        <v>530</v>
      </c>
      <c r="E878" s="55" t="s">
        <v>59</v>
      </c>
      <c r="F878" s="55" t="s">
        <v>1074</v>
      </c>
      <c r="G878" s="446">
        <v>3200</v>
      </c>
      <c r="H878" s="446">
        <f>3200+711</f>
        <v>3911</v>
      </c>
      <c r="J878" s="446">
        <v>3390.6</v>
      </c>
      <c r="K878" s="475">
        <f>J878/G878*100</f>
        <v>105.95625</v>
      </c>
      <c r="L878" s="475">
        <f t="shared" si="102"/>
        <v>86.69394016875479</v>
      </c>
    </row>
    <row r="879" spans="1:12" ht="36">
      <c r="A879" s="57" t="s">
        <v>60</v>
      </c>
      <c r="B879" s="52" t="s">
        <v>673</v>
      </c>
      <c r="C879" s="55" t="s">
        <v>519</v>
      </c>
      <c r="D879" s="55" t="s">
        <v>530</v>
      </c>
      <c r="E879" s="55" t="s">
        <v>61</v>
      </c>
      <c r="F879" s="55" t="s">
        <v>920</v>
      </c>
      <c r="G879" s="445">
        <f>G880</f>
        <v>0</v>
      </c>
      <c r="H879" s="445">
        <f>H880</f>
        <v>967.6</v>
      </c>
      <c r="J879" s="445">
        <f>J880</f>
        <v>967.6</v>
      </c>
      <c r="K879" s="475">
        <v>0</v>
      </c>
      <c r="L879" s="475">
        <f t="shared" si="102"/>
        <v>100</v>
      </c>
    </row>
    <row r="880" spans="1:12" ht="15">
      <c r="A880" s="126" t="s">
        <v>767</v>
      </c>
      <c r="B880" s="52" t="s">
        <v>673</v>
      </c>
      <c r="C880" s="55" t="s">
        <v>519</v>
      </c>
      <c r="D880" s="55" t="s">
        <v>530</v>
      </c>
      <c r="E880" s="55" t="s">
        <v>61</v>
      </c>
      <c r="F880" s="55" t="s">
        <v>768</v>
      </c>
      <c r="G880" s="445">
        <f>G881</f>
        <v>0</v>
      </c>
      <c r="H880" s="445">
        <f>H881</f>
        <v>967.6</v>
      </c>
      <c r="J880" s="445">
        <f>J881</f>
        <v>967.6</v>
      </c>
      <c r="K880" s="475">
        <v>0</v>
      </c>
      <c r="L880" s="475">
        <f t="shared" si="102"/>
        <v>100</v>
      </c>
    </row>
    <row r="881" spans="1:12" ht="24">
      <c r="A881" s="57" t="s">
        <v>1079</v>
      </c>
      <c r="B881" s="52" t="s">
        <v>673</v>
      </c>
      <c r="C881" s="55" t="s">
        <v>519</v>
      </c>
      <c r="D881" s="55" t="s">
        <v>530</v>
      </c>
      <c r="E881" s="55" t="s">
        <v>61</v>
      </c>
      <c r="F881" s="55" t="s">
        <v>1074</v>
      </c>
      <c r="G881" s="446">
        <v>0</v>
      </c>
      <c r="H881" s="446">
        <v>967.6</v>
      </c>
      <c r="J881" s="446">
        <v>967.6</v>
      </c>
      <c r="K881" s="475">
        <v>0</v>
      </c>
      <c r="L881" s="475">
        <f t="shared" si="102"/>
        <v>100</v>
      </c>
    </row>
    <row r="882" spans="1:12" ht="36">
      <c r="A882" s="57" t="s">
        <v>62</v>
      </c>
      <c r="B882" s="52" t="s">
        <v>673</v>
      </c>
      <c r="C882" s="55" t="s">
        <v>519</v>
      </c>
      <c r="D882" s="55" t="s">
        <v>530</v>
      </c>
      <c r="E882" s="55" t="s">
        <v>851</v>
      </c>
      <c r="F882" s="55" t="s">
        <v>920</v>
      </c>
      <c r="G882" s="445">
        <f>G883</f>
        <v>0</v>
      </c>
      <c r="H882" s="445">
        <f>H883</f>
        <v>381.6</v>
      </c>
      <c r="J882" s="445">
        <f>J883</f>
        <v>381.6</v>
      </c>
      <c r="K882" s="475">
        <v>0</v>
      </c>
      <c r="L882" s="475">
        <f t="shared" si="102"/>
        <v>100</v>
      </c>
    </row>
    <row r="883" spans="1:12" ht="15">
      <c r="A883" s="126" t="s">
        <v>767</v>
      </c>
      <c r="B883" s="52" t="s">
        <v>673</v>
      </c>
      <c r="C883" s="55" t="s">
        <v>519</v>
      </c>
      <c r="D883" s="55" t="s">
        <v>530</v>
      </c>
      <c r="E883" s="55" t="s">
        <v>851</v>
      </c>
      <c r="F883" s="55" t="s">
        <v>768</v>
      </c>
      <c r="G883" s="445">
        <f>G884</f>
        <v>0</v>
      </c>
      <c r="H883" s="445">
        <f>H884</f>
        <v>381.6</v>
      </c>
      <c r="J883" s="445">
        <f>J884</f>
        <v>381.6</v>
      </c>
      <c r="K883" s="475">
        <v>0</v>
      </c>
      <c r="L883" s="475">
        <f t="shared" si="102"/>
        <v>100</v>
      </c>
    </row>
    <row r="884" spans="1:12" ht="24">
      <c r="A884" s="57" t="s">
        <v>1079</v>
      </c>
      <c r="B884" s="52" t="s">
        <v>673</v>
      </c>
      <c r="C884" s="55" t="s">
        <v>519</v>
      </c>
      <c r="D884" s="55" t="s">
        <v>530</v>
      </c>
      <c r="E884" s="55" t="s">
        <v>851</v>
      </c>
      <c r="F884" s="55" t="s">
        <v>1074</v>
      </c>
      <c r="G884" s="446">
        <v>0</v>
      </c>
      <c r="H884" s="446">
        <v>381.6</v>
      </c>
      <c r="J884" s="446">
        <v>381.6</v>
      </c>
      <c r="K884" s="475">
        <v>0</v>
      </c>
      <c r="L884" s="475">
        <f t="shared" si="102"/>
        <v>100</v>
      </c>
    </row>
    <row r="885" spans="1:12" ht="36">
      <c r="A885" s="57" t="s">
        <v>852</v>
      </c>
      <c r="B885" s="52" t="s">
        <v>673</v>
      </c>
      <c r="C885" s="55" t="s">
        <v>519</v>
      </c>
      <c r="D885" s="55" t="s">
        <v>530</v>
      </c>
      <c r="E885" s="55" t="s">
        <v>851</v>
      </c>
      <c r="F885" s="55" t="s">
        <v>920</v>
      </c>
      <c r="G885" s="436">
        <f>G886</f>
        <v>0</v>
      </c>
      <c r="H885" s="436">
        <f>H886</f>
        <v>1083</v>
      </c>
      <c r="J885" s="436">
        <f>J886</f>
        <v>919.9</v>
      </c>
      <c r="K885" s="475">
        <v>0</v>
      </c>
      <c r="L885" s="475">
        <f t="shared" si="102"/>
        <v>84.93998153277931</v>
      </c>
    </row>
    <row r="886" spans="1:12" ht="15">
      <c r="A886" s="126" t="s">
        <v>767</v>
      </c>
      <c r="B886" s="52" t="s">
        <v>673</v>
      </c>
      <c r="C886" s="55" t="s">
        <v>519</v>
      </c>
      <c r="D886" s="55" t="s">
        <v>530</v>
      </c>
      <c r="E886" s="55" t="s">
        <v>851</v>
      </c>
      <c r="F886" s="55" t="s">
        <v>768</v>
      </c>
      <c r="G886" s="436">
        <f>G887</f>
        <v>0</v>
      </c>
      <c r="H886" s="436">
        <f>H887</f>
        <v>1083</v>
      </c>
      <c r="J886" s="436">
        <f>J887</f>
        <v>919.9</v>
      </c>
      <c r="K886" s="475">
        <v>0</v>
      </c>
      <c r="L886" s="475">
        <f t="shared" si="102"/>
        <v>84.93998153277931</v>
      </c>
    </row>
    <row r="887" spans="1:12" ht="24">
      <c r="A887" s="57" t="s">
        <v>1079</v>
      </c>
      <c r="B887" s="52" t="s">
        <v>673</v>
      </c>
      <c r="C887" s="55" t="s">
        <v>519</v>
      </c>
      <c r="D887" s="55" t="s">
        <v>530</v>
      </c>
      <c r="E887" s="55" t="s">
        <v>851</v>
      </c>
      <c r="F887" s="55" t="s">
        <v>1074</v>
      </c>
      <c r="G887" s="437">
        <v>0</v>
      </c>
      <c r="H887" s="437">
        <v>1083</v>
      </c>
      <c r="J887" s="437">
        <v>919.9</v>
      </c>
      <c r="K887" s="475">
        <v>0</v>
      </c>
      <c r="L887" s="475">
        <f t="shared" si="102"/>
        <v>84.93998153277931</v>
      </c>
    </row>
    <row r="888" spans="1:12" ht="36">
      <c r="A888" s="57" t="s">
        <v>853</v>
      </c>
      <c r="B888" s="52" t="s">
        <v>673</v>
      </c>
      <c r="C888" s="55" t="s">
        <v>519</v>
      </c>
      <c r="D888" s="55" t="s">
        <v>530</v>
      </c>
      <c r="E888" s="55" t="s">
        <v>61</v>
      </c>
      <c r="F888" s="55" t="s">
        <v>920</v>
      </c>
      <c r="G888" s="436">
        <f>G889</f>
        <v>0</v>
      </c>
      <c r="H888" s="436">
        <f>H889</f>
        <v>2680</v>
      </c>
      <c r="J888" s="436">
        <f>J889</f>
        <v>2277.7</v>
      </c>
      <c r="K888" s="475">
        <v>0</v>
      </c>
      <c r="L888" s="475">
        <f t="shared" si="102"/>
        <v>84.98880597014924</v>
      </c>
    </row>
    <row r="889" spans="1:12" ht="15">
      <c r="A889" s="126" t="s">
        <v>767</v>
      </c>
      <c r="B889" s="52" t="s">
        <v>673</v>
      </c>
      <c r="C889" s="55" t="s">
        <v>519</v>
      </c>
      <c r="D889" s="55" t="s">
        <v>530</v>
      </c>
      <c r="E889" s="55" t="s">
        <v>61</v>
      </c>
      <c r="F889" s="55" t="s">
        <v>768</v>
      </c>
      <c r="G889" s="436">
        <f>G890</f>
        <v>0</v>
      </c>
      <c r="H889" s="436">
        <f>H890</f>
        <v>2680</v>
      </c>
      <c r="J889" s="436">
        <f>J890</f>
        <v>2277.7</v>
      </c>
      <c r="K889" s="475">
        <v>0</v>
      </c>
      <c r="L889" s="475">
        <f t="shared" si="102"/>
        <v>84.98880597014924</v>
      </c>
    </row>
    <row r="890" spans="1:12" ht="24">
      <c r="A890" s="57" t="s">
        <v>1079</v>
      </c>
      <c r="B890" s="52" t="s">
        <v>673</v>
      </c>
      <c r="C890" s="55" t="s">
        <v>519</v>
      </c>
      <c r="D890" s="55" t="s">
        <v>530</v>
      </c>
      <c r="E890" s="55" t="s">
        <v>61</v>
      </c>
      <c r="F890" s="55" t="s">
        <v>1074</v>
      </c>
      <c r="G890" s="437">
        <v>0</v>
      </c>
      <c r="H890" s="437">
        <v>2680</v>
      </c>
      <c r="J890" s="437">
        <v>2277.7</v>
      </c>
      <c r="K890" s="475">
        <v>0</v>
      </c>
      <c r="L890" s="475">
        <f t="shared" si="102"/>
        <v>84.98880597014924</v>
      </c>
    </row>
    <row r="891" spans="1:12" ht="48">
      <c r="A891" s="62" t="s">
        <v>1101</v>
      </c>
      <c r="B891" s="52" t="s">
        <v>673</v>
      </c>
      <c r="C891" s="55" t="s">
        <v>519</v>
      </c>
      <c r="D891" s="55" t="s">
        <v>530</v>
      </c>
      <c r="E891" s="55" t="s">
        <v>854</v>
      </c>
      <c r="F891" s="55"/>
      <c r="G891" s="436">
        <f>G892</f>
        <v>0</v>
      </c>
      <c r="H891" s="436">
        <f>H892</f>
        <v>0</v>
      </c>
      <c r="J891" s="436">
        <f>J892</f>
        <v>0</v>
      </c>
      <c r="K891" s="475">
        <v>0</v>
      </c>
      <c r="L891" s="475">
        <v>0</v>
      </c>
    </row>
    <row r="892" spans="1:12" ht="15">
      <c r="A892" s="208" t="s">
        <v>767</v>
      </c>
      <c r="B892" s="52" t="s">
        <v>673</v>
      </c>
      <c r="C892" s="55" t="s">
        <v>519</v>
      </c>
      <c r="D892" s="55" t="s">
        <v>530</v>
      </c>
      <c r="E892" s="55" t="s">
        <v>854</v>
      </c>
      <c r="F892" s="55" t="s">
        <v>768</v>
      </c>
      <c r="G892" s="436">
        <f>G893</f>
        <v>0</v>
      </c>
      <c r="H892" s="436">
        <f>H893</f>
        <v>0</v>
      </c>
      <c r="J892" s="436">
        <f>J893</f>
        <v>0</v>
      </c>
      <c r="K892" s="475">
        <v>0</v>
      </c>
      <c r="L892" s="475">
        <v>0</v>
      </c>
    </row>
    <row r="893" spans="1:12" ht="24">
      <c r="A893" s="208" t="s">
        <v>1079</v>
      </c>
      <c r="B893" s="52" t="s">
        <v>673</v>
      </c>
      <c r="C893" s="55" t="s">
        <v>519</v>
      </c>
      <c r="D893" s="55" t="s">
        <v>530</v>
      </c>
      <c r="E893" s="55" t="s">
        <v>854</v>
      </c>
      <c r="F893" s="55" t="s">
        <v>1074</v>
      </c>
      <c r="G893" s="437">
        <f>1790.3-1790.3</f>
        <v>0</v>
      </c>
      <c r="H893" s="437">
        <f>1790.3-1790.3</f>
        <v>0</v>
      </c>
      <c r="J893" s="437">
        <f>1790.3-1790.3</f>
        <v>0</v>
      </c>
      <c r="K893" s="475">
        <v>0</v>
      </c>
      <c r="L893" s="475">
        <v>0</v>
      </c>
    </row>
    <row r="894" spans="1:12" ht="48">
      <c r="A894" s="57" t="s">
        <v>1102</v>
      </c>
      <c r="B894" s="52" t="s">
        <v>673</v>
      </c>
      <c r="C894" s="55" t="s">
        <v>519</v>
      </c>
      <c r="D894" s="55" t="s">
        <v>530</v>
      </c>
      <c r="E894" s="55" t="s">
        <v>855</v>
      </c>
      <c r="F894" s="55"/>
      <c r="G894" s="436">
        <f>G895</f>
        <v>0</v>
      </c>
      <c r="H894" s="436">
        <f>H895</f>
        <v>3688.2</v>
      </c>
      <c r="J894" s="436">
        <f>J895</f>
        <v>0</v>
      </c>
      <c r="K894" s="475">
        <v>0</v>
      </c>
      <c r="L894" s="475">
        <f>J894/H894*100</f>
        <v>0</v>
      </c>
    </row>
    <row r="895" spans="1:12" ht="15">
      <c r="A895" s="208" t="s">
        <v>767</v>
      </c>
      <c r="B895" s="52" t="s">
        <v>673</v>
      </c>
      <c r="C895" s="55" t="s">
        <v>519</v>
      </c>
      <c r="D895" s="55" t="s">
        <v>530</v>
      </c>
      <c r="E895" s="55" t="s">
        <v>855</v>
      </c>
      <c r="F895" s="55" t="s">
        <v>768</v>
      </c>
      <c r="G895" s="436">
        <f>G896</f>
        <v>0</v>
      </c>
      <c r="H895" s="436">
        <f>H896</f>
        <v>3688.2</v>
      </c>
      <c r="J895" s="436">
        <f>J896</f>
        <v>0</v>
      </c>
      <c r="K895" s="475">
        <v>0</v>
      </c>
      <c r="L895" s="475">
        <f>J895/H895*100</f>
        <v>0</v>
      </c>
    </row>
    <row r="896" spans="1:12" ht="24">
      <c r="A896" s="208" t="s">
        <v>1079</v>
      </c>
      <c r="B896" s="52" t="s">
        <v>673</v>
      </c>
      <c r="C896" s="55" t="s">
        <v>519</v>
      </c>
      <c r="D896" s="55" t="s">
        <v>530</v>
      </c>
      <c r="E896" s="55" t="s">
        <v>855</v>
      </c>
      <c r="F896" s="55" t="s">
        <v>1074</v>
      </c>
      <c r="G896" s="437">
        <v>0</v>
      </c>
      <c r="H896" s="437">
        <f>1790.3+895.2+1002.7</f>
        <v>3688.2</v>
      </c>
      <c r="J896" s="437">
        <v>0</v>
      </c>
      <c r="K896" s="475">
        <v>0</v>
      </c>
      <c r="L896" s="475">
        <f>J896/H896*100</f>
        <v>0</v>
      </c>
    </row>
    <row r="897" spans="1:12" ht="36">
      <c r="A897" s="57" t="s">
        <v>856</v>
      </c>
      <c r="B897" s="52" t="s">
        <v>673</v>
      </c>
      <c r="C897" s="55" t="s">
        <v>519</v>
      </c>
      <c r="D897" s="55" t="s">
        <v>530</v>
      </c>
      <c r="E897" s="55" t="s">
        <v>857</v>
      </c>
      <c r="F897" s="55"/>
      <c r="G897" s="445">
        <f aca="true" t="shared" si="103" ref="G897:H899">G898</f>
        <v>1125.3</v>
      </c>
      <c r="H897" s="445">
        <f t="shared" si="103"/>
        <v>0</v>
      </c>
      <c r="J897" s="445">
        <f>J898</f>
        <v>0</v>
      </c>
      <c r="K897" s="475">
        <v>0</v>
      </c>
      <c r="L897" s="475">
        <v>0</v>
      </c>
    </row>
    <row r="898" spans="1:12" ht="15">
      <c r="A898" s="57" t="s">
        <v>858</v>
      </c>
      <c r="B898" s="52" t="s">
        <v>673</v>
      </c>
      <c r="C898" s="55" t="s">
        <v>519</v>
      </c>
      <c r="D898" s="55" t="s">
        <v>530</v>
      </c>
      <c r="E898" s="55" t="s">
        <v>859</v>
      </c>
      <c r="F898" s="55" t="s">
        <v>920</v>
      </c>
      <c r="G898" s="436">
        <f t="shared" si="103"/>
        <v>1125.3</v>
      </c>
      <c r="H898" s="436">
        <f t="shared" si="103"/>
        <v>0</v>
      </c>
      <c r="J898" s="436">
        <f>J899</f>
        <v>0</v>
      </c>
      <c r="K898" s="475">
        <f aca="true" t="shared" si="104" ref="K898:K904">J898/G898*100</f>
        <v>0</v>
      </c>
      <c r="L898" s="475">
        <v>0</v>
      </c>
    </row>
    <row r="899" spans="1:12" ht="15">
      <c r="A899" s="208" t="s">
        <v>767</v>
      </c>
      <c r="B899" s="52" t="s">
        <v>673</v>
      </c>
      <c r="C899" s="55" t="s">
        <v>519</v>
      </c>
      <c r="D899" s="55" t="s">
        <v>530</v>
      </c>
      <c r="E899" s="55" t="s">
        <v>859</v>
      </c>
      <c r="F899" s="55" t="s">
        <v>768</v>
      </c>
      <c r="G899" s="436">
        <f t="shared" si="103"/>
        <v>1125.3</v>
      </c>
      <c r="H899" s="436">
        <f t="shared" si="103"/>
        <v>0</v>
      </c>
      <c r="J899" s="436">
        <f>J900</f>
        <v>0</v>
      </c>
      <c r="K899" s="475">
        <f t="shared" si="104"/>
        <v>0</v>
      </c>
      <c r="L899" s="475">
        <v>0</v>
      </c>
    </row>
    <row r="900" spans="1:12" ht="24">
      <c r="A900" s="57" t="s">
        <v>1079</v>
      </c>
      <c r="B900" s="52" t="s">
        <v>673</v>
      </c>
      <c r="C900" s="55" t="s">
        <v>519</v>
      </c>
      <c r="D900" s="55" t="s">
        <v>530</v>
      </c>
      <c r="E900" s="55" t="s">
        <v>859</v>
      </c>
      <c r="F900" s="55" t="s">
        <v>1074</v>
      </c>
      <c r="G900" s="437">
        <v>1125.3</v>
      </c>
      <c r="H900" s="437">
        <v>0</v>
      </c>
      <c r="J900" s="437">
        <v>0</v>
      </c>
      <c r="K900" s="475">
        <f t="shared" si="104"/>
        <v>0</v>
      </c>
      <c r="L900" s="475">
        <v>0</v>
      </c>
    </row>
    <row r="901" spans="1:12" ht="18.75" customHeight="1">
      <c r="A901" s="61" t="s">
        <v>402</v>
      </c>
      <c r="B901" s="52" t="s">
        <v>673</v>
      </c>
      <c r="C901" s="55" t="s">
        <v>519</v>
      </c>
      <c r="D901" s="55" t="s">
        <v>1151</v>
      </c>
      <c r="E901" s="181"/>
      <c r="F901" s="55"/>
      <c r="G901" s="436">
        <f>G902+G905</f>
        <v>29471</v>
      </c>
      <c r="H901" s="436">
        <f>H902+H905</f>
        <v>32200.5</v>
      </c>
      <c r="J901" s="436">
        <f>J902+J905</f>
        <v>32200.5</v>
      </c>
      <c r="K901" s="476">
        <f t="shared" si="104"/>
        <v>109.26164704285569</v>
      </c>
      <c r="L901" s="476">
        <f aca="true" t="shared" si="105" ref="L901:L908">J901/H901*100</f>
        <v>100</v>
      </c>
    </row>
    <row r="902" spans="1:12" ht="29.25" customHeight="1">
      <c r="A902" s="56" t="s">
        <v>862</v>
      </c>
      <c r="B902" s="52" t="s">
        <v>673</v>
      </c>
      <c r="C902" s="55" t="s">
        <v>519</v>
      </c>
      <c r="D902" s="55" t="s">
        <v>1151</v>
      </c>
      <c r="E902" s="55" t="s">
        <v>863</v>
      </c>
      <c r="F902" s="55"/>
      <c r="G902" s="436">
        <f>G903</f>
        <v>29471</v>
      </c>
      <c r="H902" s="436">
        <f>H903</f>
        <v>28167</v>
      </c>
      <c r="J902" s="436">
        <f>J903</f>
        <v>28167</v>
      </c>
      <c r="K902" s="475">
        <f t="shared" si="104"/>
        <v>95.57531132299547</v>
      </c>
      <c r="L902" s="475">
        <f t="shared" si="105"/>
        <v>100</v>
      </c>
    </row>
    <row r="903" spans="1:12" ht="29.25" customHeight="1">
      <c r="A903" s="209" t="s">
        <v>864</v>
      </c>
      <c r="B903" s="52" t="s">
        <v>673</v>
      </c>
      <c r="C903" s="55" t="s">
        <v>519</v>
      </c>
      <c r="D903" s="55" t="s">
        <v>1151</v>
      </c>
      <c r="E903" s="55" t="s">
        <v>863</v>
      </c>
      <c r="F903" s="55" t="s">
        <v>768</v>
      </c>
      <c r="G903" s="436">
        <f>G904</f>
        <v>29471</v>
      </c>
      <c r="H903" s="436">
        <f>H904</f>
        <v>28167</v>
      </c>
      <c r="J903" s="436">
        <f>J904</f>
        <v>28167</v>
      </c>
      <c r="K903" s="475">
        <f t="shared" si="104"/>
        <v>95.57531132299547</v>
      </c>
      <c r="L903" s="475">
        <f t="shared" si="105"/>
        <v>100</v>
      </c>
    </row>
    <row r="904" spans="1:12" ht="47.25" customHeight="1">
      <c r="A904" s="62" t="s">
        <v>865</v>
      </c>
      <c r="B904" s="52" t="s">
        <v>673</v>
      </c>
      <c r="C904" s="55" t="s">
        <v>519</v>
      </c>
      <c r="D904" s="55" t="s">
        <v>1151</v>
      </c>
      <c r="E904" s="55" t="s">
        <v>863</v>
      </c>
      <c r="F904" s="55" t="s">
        <v>1074</v>
      </c>
      <c r="G904" s="437">
        <v>29471</v>
      </c>
      <c r="H904" s="437">
        <f>1727+29471-3031</f>
        <v>28167</v>
      </c>
      <c r="J904" s="437">
        <f>1727+29471-3031</f>
        <v>28167</v>
      </c>
      <c r="K904" s="475">
        <f t="shared" si="104"/>
        <v>95.57531132299547</v>
      </c>
      <c r="L904" s="475">
        <f t="shared" si="105"/>
        <v>100</v>
      </c>
    </row>
    <row r="905" spans="1:12" ht="27.75" customHeight="1">
      <c r="A905" s="56" t="s">
        <v>55</v>
      </c>
      <c r="B905" s="52" t="s">
        <v>673</v>
      </c>
      <c r="C905" s="55" t="s">
        <v>519</v>
      </c>
      <c r="D905" s="55" t="s">
        <v>1151</v>
      </c>
      <c r="E905" s="182" t="s">
        <v>866</v>
      </c>
      <c r="F905" s="55"/>
      <c r="G905" s="436">
        <f aca="true" t="shared" si="106" ref="G905:H907">G906</f>
        <v>0</v>
      </c>
      <c r="H905" s="436">
        <f t="shared" si="106"/>
        <v>4033.5</v>
      </c>
      <c r="J905" s="436">
        <f>J906</f>
        <v>4033.5</v>
      </c>
      <c r="K905" s="475">
        <v>0</v>
      </c>
      <c r="L905" s="475">
        <f t="shared" si="105"/>
        <v>100</v>
      </c>
    </row>
    <row r="906" spans="1:12" ht="28.5" customHeight="1">
      <c r="A906" s="209" t="s">
        <v>867</v>
      </c>
      <c r="B906" s="52" t="s">
        <v>673</v>
      </c>
      <c r="C906" s="55" t="s">
        <v>519</v>
      </c>
      <c r="D906" s="55" t="s">
        <v>1151</v>
      </c>
      <c r="E906" s="182" t="s">
        <v>868</v>
      </c>
      <c r="F906" s="55" t="s">
        <v>920</v>
      </c>
      <c r="G906" s="436">
        <f t="shared" si="106"/>
        <v>0</v>
      </c>
      <c r="H906" s="436">
        <f t="shared" si="106"/>
        <v>4033.5</v>
      </c>
      <c r="J906" s="436">
        <f>J907</f>
        <v>4033.5</v>
      </c>
      <c r="K906" s="475">
        <v>0</v>
      </c>
      <c r="L906" s="475">
        <f t="shared" si="105"/>
        <v>100</v>
      </c>
    </row>
    <row r="907" spans="1:12" ht="24" customHeight="1">
      <c r="A907" s="405" t="s">
        <v>767</v>
      </c>
      <c r="B907" s="52" t="s">
        <v>673</v>
      </c>
      <c r="C907" s="55" t="s">
        <v>519</v>
      </c>
      <c r="D907" s="55" t="s">
        <v>1151</v>
      </c>
      <c r="E907" s="182" t="s">
        <v>868</v>
      </c>
      <c r="F907" s="55" t="s">
        <v>768</v>
      </c>
      <c r="G907" s="436">
        <f t="shared" si="106"/>
        <v>0</v>
      </c>
      <c r="H907" s="436">
        <f t="shared" si="106"/>
        <v>4033.5</v>
      </c>
      <c r="J907" s="436">
        <f>J908</f>
        <v>4033.5</v>
      </c>
      <c r="K907" s="475">
        <v>0</v>
      </c>
      <c r="L907" s="475">
        <f t="shared" si="105"/>
        <v>100</v>
      </c>
    </row>
    <row r="908" spans="1:12" ht="29.25" customHeight="1">
      <c r="A908" s="62" t="s">
        <v>1079</v>
      </c>
      <c r="B908" s="52" t="s">
        <v>673</v>
      </c>
      <c r="C908" s="55" t="s">
        <v>519</v>
      </c>
      <c r="D908" s="55" t="s">
        <v>1151</v>
      </c>
      <c r="E908" s="182" t="s">
        <v>868</v>
      </c>
      <c r="F908" s="55" t="s">
        <v>1074</v>
      </c>
      <c r="G908" s="437">
        <v>0</v>
      </c>
      <c r="H908" s="437">
        <f>8508.5-4475</f>
        <v>4033.5</v>
      </c>
      <c r="J908" s="437">
        <f>8508.5-4475</f>
        <v>4033.5</v>
      </c>
      <c r="K908" s="475">
        <v>0</v>
      </c>
      <c r="L908" s="475">
        <f t="shared" si="105"/>
        <v>100</v>
      </c>
    </row>
    <row r="909" spans="1:12" ht="15">
      <c r="A909" s="71" t="s">
        <v>788</v>
      </c>
      <c r="B909" s="52" t="s">
        <v>673</v>
      </c>
      <c r="C909" s="53" t="s">
        <v>1176</v>
      </c>
      <c r="D909" s="55"/>
      <c r="E909" s="55"/>
      <c r="F909" s="55"/>
      <c r="G909" s="448">
        <f>G910+G922</f>
        <v>17536.5</v>
      </c>
      <c r="H909" s="448">
        <f>H910+H922</f>
        <v>23673.9</v>
      </c>
      <c r="J909" s="448">
        <f>J910+J922</f>
        <v>23314.4</v>
      </c>
      <c r="K909" s="460">
        <f aca="true" t="shared" si="107" ref="K909:K915">J909/G909*100</f>
        <v>132.94785162375618</v>
      </c>
      <c r="L909" s="460">
        <f aca="true" t="shared" si="108" ref="L909:L927">J909/H909*100</f>
        <v>98.48145003569331</v>
      </c>
    </row>
    <row r="910" spans="1:12" ht="15">
      <c r="A910" s="160" t="s">
        <v>1097</v>
      </c>
      <c r="B910" s="52" t="s">
        <v>673</v>
      </c>
      <c r="C910" s="55" t="s">
        <v>1176</v>
      </c>
      <c r="D910" s="55" t="s">
        <v>1105</v>
      </c>
      <c r="E910" s="79"/>
      <c r="F910" s="79"/>
      <c r="G910" s="436">
        <f aca="true" t="shared" si="109" ref="G910:H914">G911</f>
        <v>9350</v>
      </c>
      <c r="H910" s="436">
        <f t="shared" si="109"/>
        <v>11317.5</v>
      </c>
      <c r="J910" s="436">
        <f>J911</f>
        <v>11068</v>
      </c>
      <c r="K910" s="460">
        <f t="shared" si="107"/>
        <v>118.37433155080215</v>
      </c>
      <c r="L910" s="460">
        <f t="shared" si="108"/>
        <v>97.79544952507179</v>
      </c>
    </row>
    <row r="911" spans="1:12" ht="24">
      <c r="A911" s="63" t="s">
        <v>1152</v>
      </c>
      <c r="B911" s="52" t="s">
        <v>673</v>
      </c>
      <c r="C911" s="55" t="s">
        <v>1176</v>
      </c>
      <c r="D911" s="55" t="s">
        <v>1105</v>
      </c>
      <c r="E911" s="55" t="s">
        <v>182</v>
      </c>
      <c r="F911" s="55"/>
      <c r="G911" s="436">
        <f t="shared" si="109"/>
        <v>9350</v>
      </c>
      <c r="H911" s="436">
        <f t="shared" si="109"/>
        <v>11317.5</v>
      </c>
      <c r="J911" s="436">
        <f>J912</f>
        <v>11068</v>
      </c>
      <c r="K911" s="475">
        <f t="shared" si="107"/>
        <v>118.37433155080215</v>
      </c>
      <c r="L911" s="475">
        <f t="shared" si="108"/>
        <v>97.79544952507179</v>
      </c>
    </row>
    <row r="912" spans="1:12" ht="36">
      <c r="A912" s="62" t="s">
        <v>183</v>
      </c>
      <c r="B912" s="52" t="s">
        <v>673</v>
      </c>
      <c r="C912" s="55" t="s">
        <v>1176</v>
      </c>
      <c r="D912" s="55" t="s">
        <v>1105</v>
      </c>
      <c r="E912" s="55" t="s">
        <v>184</v>
      </c>
      <c r="F912" s="55"/>
      <c r="G912" s="436">
        <f t="shared" si="109"/>
        <v>9350</v>
      </c>
      <c r="H912" s="436">
        <f t="shared" si="109"/>
        <v>11317.5</v>
      </c>
      <c r="J912" s="436">
        <f>J913</f>
        <v>11068</v>
      </c>
      <c r="K912" s="475">
        <f t="shared" si="107"/>
        <v>118.37433155080215</v>
      </c>
      <c r="L912" s="475">
        <f t="shared" si="108"/>
        <v>97.79544952507179</v>
      </c>
    </row>
    <row r="913" spans="1:12" ht="15">
      <c r="A913" s="57" t="s">
        <v>789</v>
      </c>
      <c r="B913" s="52" t="s">
        <v>673</v>
      </c>
      <c r="C913" s="55" t="s">
        <v>1176</v>
      </c>
      <c r="D913" s="55" t="s">
        <v>1105</v>
      </c>
      <c r="E913" s="55" t="s">
        <v>185</v>
      </c>
      <c r="F913" s="55" t="s">
        <v>920</v>
      </c>
      <c r="G913" s="436">
        <f t="shared" si="109"/>
        <v>9350</v>
      </c>
      <c r="H913" s="436">
        <f t="shared" si="109"/>
        <v>11317.5</v>
      </c>
      <c r="J913" s="436">
        <f>J914</f>
        <v>11068</v>
      </c>
      <c r="K913" s="475">
        <f t="shared" si="107"/>
        <v>118.37433155080215</v>
      </c>
      <c r="L913" s="475">
        <f t="shared" si="108"/>
        <v>97.79544952507179</v>
      </c>
    </row>
    <row r="914" spans="1:12" ht="24">
      <c r="A914" s="62" t="s">
        <v>139</v>
      </c>
      <c r="B914" s="52" t="s">
        <v>673</v>
      </c>
      <c r="C914" s="55" t="s">
        <v>1176</v>
      </c>
      <c r="D914" s="55" t="s">
        <v>1105</v>
      </c>
      <c r="E914" s="55" t="s">
        <v>185</v>
      </c>
      <c r="F914" s="55" t="s">
        <v>1454</v>
      </c>
      <c r="G914" s="436">
        <f t="shared" si="109"/>
        <v>9350</v>
      </c>
      <c r="H914" s="436">
        <f t="shared" si="109"/>
        <v>11317.5</v>
      </c>
      <c r="J914" s="436">
        <f>J915</f>
        <v>11068</v>
      </c>
      <c r="K914" s="475">
        <f t="shared" si="107"/>
        <v>118.37433155080215</v>
      </c>
      <c r="L914" s="475">
        <f t="shared" si="108"/>
        <v>97.79544952507179</v>
      </c>
    </row>
    <row r="915" spans="1:12" ht="15">
      <c r="A915" s="57" t="s">
        <v>141</v>
      </c>
      <c r="B915" s="52" t="s">
        <v>673</v>
      </c>
      <c r="C915" s="55" t="s">
        <v>1176</v>
      </c>
      <c r="D915" s="55" t="s">
        <v>1105</v>
      </c>
      <c r="E915" s="55" t="s">
        <v>185</v>
      </c>
      <c r="F915" s="55" t="s">
        <v>554</v>
      </c>
      <c r="G915" s="437">
        <v>9350</v>
      </c>
      <c r="H915" s="437">
        <f>9350+462.2+252.3+150+150+300+80+350+223</f>
        <v>11317.5</v>
      </c>
      <c r="J915" s="437">
        <v>11068</v>
      </c>
      <c r="K915" s="475">
        <f t="shared" si="107"/>
        <v>118.37433155080215</v>
      </c>
      <c r="L915" s="475">
        <f t="shared" si="108"/>
        <v>97.79544952507179</v>
      </c>
    </row>
    <row r="916" spans="1:12" ht="24">
      <c r="A916" s="57" t="s">
        <v>186</v>
      </c>
      <c r="B916" s="52" t="s">
        <v>673</v>
      </c>
      <c r="C916" s="55" t="s">
        <v>1176</v>
      </c>
      <c r="D916" s="55" t="s">
        <v>1105</v>
      </c>
      <c r="E916" s="55" t="s">
        <v>185</v>
      </c>
      <c r="F916" s="55" t="s">
        <v>554</v>
      </c>
      <c r="G916" s="437">
        <v>0</v>
      </c>
      <c r="H916" s="437">
        <v>462.2</v>
      </c>
      <c r="J916" s="437">
        <v>447</v>
      </c>
      <c r="K916" s="475">
        <v>0</v>
      </c>
      <c r="L916" s="475">
        <f t="shared" si="108"/>
        <v>96.71138035482475</v>
      </c>
    </row>
    <row r="917" spans="1:12" ht="24">
      <c r="A917" s="57" t="s">
        <v>189</v>
      </c>
      <c r="B917" s="52" t="s">
        <v>673</v>
      </c>
      <c r="C917" s="55" t="s">
        <v>1176</v>
      </c>
      <c r="D917" s="55" t="s">
        <v>1105</v>
      </c>
      <c r="E917" s="55" t="s">
        <v>185</v>
      </c>
      <c r="F917" s="55" t="s">
        <v>554</v>
      </c>
      <c r="G917" s="437">
        <v>0</v>
      </c>
      <c r="H917" s="437">
        <f>252.3+150</f>
        <v>402.3</v>
      </c>
      <c r="J917" s="437">
        <v>401</v>
      </c>
      <c r="K917" s="475">
        <v>0</v>
      </c>
      <c r="L917" s="475">
        <f t="shared" si="108"/>
        <v>99.6768580661198</v>
      </c>
    </row>
    <row r="918" spans="1:12" ht="24">
      <c r="A918" s="57" t="s">
        <v>190</v>
      </c>
      <c r="B918" s="52" t="s">
        <v>673</v>
      </c>
      <c r="C918" s="55" t="s">
        <v>1176</v>
      </c>
      <c r="D918" s="55" t="s">
        <v>1105</v>
      </c>
      <c r="E918" s="55" t="s">
        <v>185</v>
      </c>
      <c r="F918" s="55" t="s">
        <v>554</v>
      </c>
      <c r="G918" s="437">
        <v>0</v>
      </c>
      <c r="H918" s="437">
        <v>150</v>
      </c>
      <c r="J918" s="437">
        <v>0</v>
      </c>
      <c r="K918" s="475">
        <v>0</v>
      </c>
      <c r="L918" s="475">
        <f t="shared" si="108"/>
        <v>0</v>
      </c>
    </row>
    <row r="919" spans="1:12" ht="15">
      <c r="A919" s="57" t="s">
        <v>191</v>
      </c>
      <c r="B919" s="52" t="s">
        <v>673</v>
      </c>
      <c r="C919" s="55" t="s">
        <v>1176</v>
      </c>
      <c r="D919" s="55" t="s">
        <v>1105</v>
      </c>
      <c r="E919" s="55" t="s">
        <v>185</v>
      </c>
      <c r="F919" s="55" t="s">
        <v>554</v>
      </c>
      <c r="G919" s="437">
        <v>0</v>
      </c>
      <c r="H919" s="437">
        <v>300</v>
      </c>
      <c r="J919" s="437">
        <v>300</v>
      </c>
      <c r="K919" s="475">
        <v>0</v>
      </c>
      <c r="L919" s="475">
        <f t="shared" si="108"/>
        <v>100</v>
      </c>
    </row>
    <row r="920" spans="1:12" ht="24">
      <c r="A920" s="57" t="s">
        <v>192</v>
      </c>
      <c r="B920" s="52" t="s">
        <v>673</v>
      </c>
      <c r="C920" s="55" t="s">
        <v>1176</v>
      </c>
      <c r="D920" s="55" t="s">
        <v>1105</v>
      </c>
      <c r="E920" s="55" t="s">
        <v>185</v>
      </c>
      <c r="F920" s="55" t="s">
        <v>554</v>
      </c>
      <c r="G920" s="437">
        <v>0</v>
      </c>
      <c r="H920" s="437">
        <v>80</v>
      </c>
      <c r="J920" s="437">
        <v>0</v>
      </c>
      <c r="K920" s="475">
        <v>0</v>
      </c>
      <c r="L920" s="475">
        <f t="shared" si="108"/>
        <v>0</v>
      </c>
    </row>
    <row r="921" spans="1:12" ht="36">
      <c r="A921" s="57" t="s">
        <v>193</v>
      </c>
      <c r="B921" s="52" t="s">
        <v>673</v>
      </c>
      <c r="C921" s="55" t="s">
        <v>1176</v>
      </c>
      <c r="D921" s="55" t="s">
        <v>1105</v>
      </c>
      <c r="E921" s="55" t="s">
        <v>185</v>
      </c>
      <c r="F921" s="55" t="s">
        <v>554</v>
      </c>
      <c r="G921" s="437">
        <v>0</v>
      </c>
      <c r="H921" s="437">
        <v>350</v>
      </c>
      <c r="J921" s="437">
        <v>347</v>
      </c>
      <c r="K921" s="475">
        <v>0</v>
      </c>
      <c r="L921" s="475">
        <f t="shared" si="108"/>
        <v>99.14285714285714</v>
      </c>
    </row>
    <row r="922" spans="1:12" ht="15">
      <c r="A922" s="65" t="s">
        <v>790</v>
      </c>
      <c r="B922" s="52" t="s">
        <v>673</v>
      </c>
      <c r="C922" s="55" t="s">
        <v>1176</v>
      </c>
      <c r="D922" s="55" t="s">
        <v>1106</v>
      </c>
      <c r="E922" s="55"/>
      <c r="F922" s="55"/>
      <c r="G922" s="436">
        <f aca="true" t="shared" si="110" ref="G922:H926">G923</f>
        <v>8186.5</v>
      </c>
      <c r="H922" s="436">
        <f t="shared" si="110"/>
        <v>12356.4</v>
      </c>
      <c r="J922" s="436">
        <f>J923</f>
        <v>12246.4</v>
      </c>
      <c r="K922" s="460">
        <f aca="true" t="shared" si="111" ref="K922:K927">J922/G922*100</f>
        <v>149.59262199963354</v>
      </c>
      <c r="L922" s="460">
        <f t="shared" si="108"/>
        <v>99.10977307306335</v>
      </c>
    </row>
    <row r="923" spans="1:12" ht="24">
      <c r="A923" s="63" t="s">
        <v>1152</v>
      </c>
      <c r="B923" s="52" t="s">
        <v>673</v>
      </c>
      <c r="C923" s="55" t="s">
        <v>1176</v>
      </c>
      <c r="D923" s="55" t="s">
        <v>1106</v>
      </c>
      <c r="E923" s="55" t="s">
        <v>182</v>
      </c>
      <c r="F923" s="55"/>
      <c r="G923" s="436">
        <f t="shared" si="110"/>
        <v>8186.5</v>
      </c>
      <c r="H923" s="436">
        <f t="shared" si="110"/>
        <v>12356.4</v>
      </c>
      <c r="J923" s="436">
        <f>J924</f>
        <v>12246.4</v>
      </c>
      <c r="K923" s="475">
        <f t="shared" si="111"/>
        <v>149.59262199963354</v>
      </c>
      <c r="L923" s="475">
        <f t="shared" si="108"/>
        <v>99.10977307306335</v>
      </c>
    </row>
    <row r="924" spans="1:12" ht="36">
      <c r="A924" s="62" t="s">
        <v>194</v>
      </c>
      <c r="B924" s="52" t="s">
        <v>673</v>
      </c>
      <c r="C924" s="55" t="s">
        <v>1176</v>
      </c>
      <c r="D924" s="55" t="s">
        <v>1106</v>
      </c>
      <c r="E924" s="55" t="s">
        <v>184</v>
      </c>
      <c r="F924" s="55"/>
      <c r="G924" s="436">
        <f t="shared" si="110"/>
        <v>8186.5</v>
      </c>
      <c r="H924" s="436">
        <f t="shared" si="110"/>
        <v>12356.4</v>
      </c>
      <c r="J924" s="436">
        <f>J925</f>
        <v>12246.4</v>
      </c>
      <c r="K924" s="475">
        <f t="shared" si="111"/>
        <v>149.59262199963354</v>
      </c>
      <c r="L924" s="475">
        <f t="shared" si="108"/>
        <v>99.10977307306335</v>
      </c>
    </row>
    <row r="925" spans="1:12" ht="24">
      <c r="A925" s="57" t="s">
        <v>556</v>
      </c>
      <c r="B925" s="52" t="s">
        <v>673</v>
      </c>
      <c r="C925" s="55" t="s">
        <v>1176</v>
      </c>
      <c r="D925" s="55" t="s">
        <v>1106</v>
      </c>
      <c r="E925" s="55" t="s">
        <v>195</v>
      </c>
      <c r="F925" s="55" t="s">
        <v>920</v>
      </c>
      <c r="G925" s="436">
        <f t="shared" si="110"/>
        <v>8186.5</v>
      </c>
      <c r="H925" s="436">
        <f t="shared" si="110"/>
        <v>12356.4</v>
      </c>
      <c r="J925" s="436">
        <f>J926</f>
        <v>12246.4</v>
      </c>
      <c r="K925" s="475">
        <f t="shared" si="111"/>
        <v>149.59262199963354</v>
      </c>
      <c r="L925" s="475">
        <f t="shared" si="108"/>
        <v>99.10977307306335</v>
      </c>
    </row>
    <row r="926" spans="1:12" ht="24">
      <c r="A926" s="62" t="s">
        <v>139</v>
      </c>
      <c r="B926" s="52" t="s">
        <v>673</v>
      </c>
      <c r="C926" s="55" t="s">
        <v>1176</v>
      </c>
      <c r="D926" s="55" t="s">
        <v>1106</v>
      </c>
      <c r="E926" s="55" t="s">
        <v>195</v>
      </c>
      <c r="F926" s="55" t="s">
        <v>1454</v>
      </c>
      <c r="G926" s="436">
        <f t="shared" si="110"/>
        <v>8186.5</v>
      </c>
      <c r="H926" s="436">
        <f t="shared" si="110"/>
        <v>12356.4</v>
      </c>
      <c r="J926" s="436">
        <f>J927</f>
        <v>12246.4</v>
      </c>
      <c r="K926" s="475">
        <f t="shared" si="111"/>
        <v>149.59262199963354</v>
      </c>
      <c r="L926" s="475">
        <f t="shared" si="108"/>
        <v>99.10977307306335</v>
      </c>
    </row>
    <row r="927" spans="1:12" ht="15">
      <c r="A927" s="57" t="s">
        <v>141</v>
      </c>
      <c r="B927" s="52" t="s">
        <v>673</v>
      </c>
      <c r="C927" s="55" t="s">
        <v>1176</v>
      </c>
      <c r="D927" s="55" t="s">
        <v>1106</v>
      </c>
      <c r="E927" s="55" t="s">
        <v>195</v>
      </c>
      <c r="F927" s="55" t="s">
        <v>554</v>
      </c>
      <c r="G927" s="437">
        <v>8186.5</v>
      </c>
      <c r="H927" s="437">
        <f>10212-2025.5+960+250-140-0.1+2100+1000</f>
        <v>12356.4</v>
      </c>
      <c r="J927" s="437">
        <v>12246.4</v>
      </c>
      <c r="K927" s="475">
        <f t="shared" si="111"/>
        <v>149.59262199963354</v>
      </c>
      <c r="L927" s="475">
        <f t="shared" si="108"/>
        <v>99.10977307306335</v>
      </c>
    </row>
    <row r="928" spans="1:12" ht="24">
      <c r="A928" s="57" t="s">
        <v>196</v>
      </c>
      <c r="B928" s="52" t="s">
        <v>673</v>
      </c>
      <c r="C928" s="55" t="s">
        <v>1176</v>
      </c>
      <c r="D928" s="55" t="s">
        <v>1106</v>
      </c>
      <c r="E928" s="55" t="s">
        <v>195</v>
      </c>
      <c r="F928" s="55" t="s">
        <v>554</v>
      </c>
      <c r="G928" s="437">
        <v>0</v>
      </c>
      <c r="H928" s="437">
        <v>5596.4</v>
      </c>
      <c r="J928" s="437">
        <v>5596.4</v>
      </c>
      <c r="K928" s="475">
        <v>0</v>
      </c>
      <c r="L928" s="475">
        <v>0</v>
      </c>
    </row>
    <row r="929" spans="1:12" ht="15">
      <c r="A929" s="57" t="s">
        <v>197</v>
      </c>
      <c r="B929" s="52" t="s">
        <v>673</v>
      </c>
      <c r="C929" s="55" t="s">
        <v>1176</v>
      </c>
      <c r="D929" s="55" t="s">
        <v>1106</v>
      </c>
      <c r="E929" s="55" t="s">
        <v>195</v>
      </c>
      <c r="F929" s="55" t="s">
        <v>554</v>
      </c>
      <c r="G929" s="437">
        <v>0</v>
      </c>
      <c r="H929" s="437">
        <f>250-140</f>
        <v>110</v>
      </c>
      <c r="J929" s="437">
        <v>0</v>
      </c>
      <c r="K929" s="475">
        <v>0</v>
      </c>
      <c r="L929" s="475">
        <v>0</v>
      </c>
    </row>
    <row r="930" spans="1:12" ht="15">
      <c r="A930" s="61" t="s">
        <v>922</v>
      </c>
      <c r="B930" s="52" t="s">
        <v>673</v>
      </c>
      <c r="C930" s="55" t="s">
        <v>1367</v>
      </c>
      <c r="D930" s="408" t="s">
        <v>791</v>
      </c>
      <c r="E930" s="55"/>
      <c r="F930" s="235"/>
      <c r="G930" s="448">
        <f>G931</f>
        <v>120071</v>
      </c>
      <c r="H930" s="448">
        <f>H931</f>
        <v>0</v>
      </c>
      <c r="J930" s="448">
        <f>J931</f>
        <v>0</v>
      </c>
      <c r="K930" s="460">
        <f aca="true" t="shared" si="112" ref="K930:K940">J930/G930*100</f>
        <v>0</v>
      </c>
      <c r="L930" s="460">
        <v>0</v>
      </c>
    </row>
    <row r="931" spans="1:12" ht="15">
      <c r="A931" s="62" t="s">
        <v>1098</v>
      </c>
      <c r="B931" s="52" t="s">
        <v>673</v>
      </c>
      <c r="C931" s="55" t="s">
        <v>1367</v>
      </c>
      <c r="D931" s="408" t="s">
        <v>1105</v>
      </c>
      <c r="E931" s="55" t="s">
        <v>198</v>
      </c>
      <c r="F931" s="235"/>
      <c r="G931" s="436">
        <f>G932+G934</f>
        <v>120071</v>
      </c>
      <c r="H931" s="436">
        <f>H932+H934</f>
        <v>0</v>
      </c>
      <c r="J931" s="436">
        <f>J932+J934</f>
        <v>0</v>
      </c>
      <c r="K931" s="460">
        <f t="shared" si="112"/>
        <v>0</v>
      </c>
      <c r="L931" s="460">
        <v>0</v>
      </c>
    </row>
    <row r="932" spans="1:12" ht="15">
      <c r="A932" s="62" t="s">
        <v>199</v>
      </c>
      <c r="B932" s="52" t="s">
        <v>673</v>
      </c>
      <c r="C932" s="55" t="s">
        <v>1367</v>
      </c>
      <c r="D932" s="408" t="s">
        <v>1105</v>
      </c>
      <c r="E932" s="55" t="s">
        <v>198</v>
      </c>
      <c r="F932" s="235" t="s">
        <v>200</v>
      </c>
      <c r="G932" s="436">
        <f>G933</f>
        <v>20000</v>
      </c>
      <c r="H932" s="436">
        <f>H933</f>
        <v>0</v>
      </c>
      <c r="J932" s="436">
        <f>J933</f>
        <v>0</v>
      </c>
      <c r="K932" s="475">
        <f t="shared" si="112"/>
        <v>0</v>
      </c>
      <c r="L932" s="475">
        <v>0</v>
      </c>
    </row>
    <row r="933" spans="1:12" ht="15">
      <c r="A933" s="57" t="s">
        <v>1082</v>
      </c>
      <c r="B933" s="52" t="s">
        <v>673</v>
      </c>
      <c r="C933" s="55" t="s">
        <v>1367</v>
      </c>
      <c r="D933" s="408" t="s">
        <v>1105</v>
      </c>
      <c r="E933" s="55" t="s">
        <v>198</v>
      </c>
      <c r="F933" s="235" t="s">
        <v>201</v>
      </c>
      <c r="G933" s="437">
        <v>20000</v>
      </c>
      <c r="H933" s="437">
        <v>0</v>
      </c>
      <c r="J933" s="437">
        <v>0</v>
      </c>
      <c r="K933" s="475">
        <f t="shared" si="112"/>
        <v>0</v>
      </c>
      <c r="L933" s="475">
        <v>0</v>
      </c>
    </row>
    <row r="934" spans="1:12" ht="15">
      <c r="A934" s="206" t="s">
        <v>793</v>
      </c>
      <c r="B934" s="52" t="s">
        <v>673</v>
      </c>
      <c r="C934" s="55" t="s">
        <v>1367</v>
      </c>
      <c r="D934" s="408" t="s">
        <v>1105</v>
      </c>
      <c r="E934" s="55" t="s">
        <v>198</v>
      </c>
      <c r="F934" s="235" t="s">
        <v>794</v>
      </c>
      <c r="G934" s="436">
        <f>G935</f>
        <v>100071</v>
      </c>
      <c r="H934" s="436">
        <f>H935</f>
        <v>0</v>
      </c>
      <c r="J934" s="436">
        <f>J935</f>
        <v>0</v>
      </c>
      <c r="K934" s="475">
        <f t="shared" si="112"/>
        <v>0</v>
      </c>
      <c r="L934" s="475">
        <v>0</v>
      </c>
    </row>
    <row r="935" spans="1:12" ht="36">
      <c r="A935" s="57" t="s">
        <v>1368</v>
      </c>
      <c r="B935" s="52" t="s">
        <v>673</v>
      </c>
      <c r="C935" s="55" t="s">
        <v>1367</v>
      </c>
      <c r="D935" s="408" t="s">
        <v>1105</v>
      </c>
      <c r="E935" s="55" t="s">
        <v>198</v>
      </c>
      <c r="F935" s="235" t="s">
        <v>1369</v>
      </c>
      <c r="G935" s="437">
        <v>100071</v>
      </c>
      <c r="H935" s="437">
        <v>0</v>
      </c>
      <c r="J935" s="437">
        <v>0</v>
      </c>
      <c r="K935" s="475">
        <f t="shared" si="112"/>
        <v>0</v>
      </c>
      <c r="L935" s="475">
        <v>0</v>
      </c>
    </row>
    <row r="936" spans="1:12" ht="39">
      <c r="A936" s="124" t="s">
        <v>1370</v>
      </c>
      <c r="B936" s="52" t="s">
        <v>673</v>
      </c>
      <c r="C936" s="79" t="s">
        <v>682</v>
      </c>
      <c r="D936" s="416"/>
      <c r="E936" s="69"/>
      <c r="F936" s="417"/>
      <c r="G936" s="448">
        <f aca="true" t="shared" si="113" ref="G936:H939">G937</f>
        <v>130984</v>
      </c>
      <c r="H936" s="448">
        <f t="shared" si="113"/>
        <v>130984</v>
      </c>
      <c r="J936" s="448">
        <f>J937</f>
        <v>130984</v>
      </c>
      <c r="K936" s="460">
        <f t="shared" si="112"/>
        <v>100</v>
      </c>
      <c r="L936" s="460">
        <f>J936/H936*100</f>
        <v>100</v>
      </c>
    </row>
    <row r="937" spans="1:12" ht="15">
      <c r="A937" s="61" t="s">
        <v>1371</v>
      </c>
      <c r="B937" s="52" t="s">
        <v>673</v>
      </c>
      <c r="C937" s="68" t="s">
        <v>682</v>
      </c>
      <c r="D937" s="418" t="s">
        <v>530</v>
      </c>
      <c r="E937" s="68"/>
      <c r="F937" s="419"/>
      <c r="G937" s="436">
        <f t="shared" si="113"/>
        <v>130984</v>
      </c>
      <c r="H937" s="436">
        <f t="shared" si="113"/>
        <v>130984</v>
      </c>
      <c r="J937" s="436">
        <f>J938</f>
        <v>130984</v>
      </c>
      <c r="K937" s="460">
        <f t="shared" si="112"/>
        <v>100</v>
      </c>
      <c r="L937" s="460">
        <f>J937/H937*100</f>
        <v>100</v>
      </c>
    </row>
    <row r="938" spans="1:12" ht="36">
      <c r="A938" s="62" t="s">
        <v>1177</v>
      </c>
      <c r="B938" s="52" t="s">
        <v>673</v>
      </c>
      <c r="C938" s="55" t="s">
        <v>682</v>
      </c>
      <c r="D938" s="408" t="s">
        <v>530</v>
      </c>
      <c r="E938" s="55" t="s">
        <v>202</v>
      </c>
      <c r="F938" s="235" t="s">
        <v>920</v>
      </c>
      <c r="G938" s="436">
        <f t="shared" si="113"/>
        <v>130984</v>
      </c>
      <c r="H938" s="436">
        <f t="shared" si="113"/>
        <v>130984</v>
      </c>
      <c r="J938" s="436">
        <f>J939</f>
        <v>130984</v>
      </c>
      <c r="K938" s="460">
        <f t="shared" si="112"/>
        <v>100</v>
      </c>
      <c r="L938" s="460">
        <f>J938/H938*100</f>
        <v>100</v>
      </c>
    </row>
    <row r="939" spans="1:12" ht="15">
      <c r="A939" s="62" t="s">
        <v>203</v>
      </c>
      <c r="B939" s="52" t="s">
        <v>673</v>
      </c>
      <c r="C939" s="55" t="s">
        <v>682</v>
      </c>
      <c r="D939" s="408" t="s">
        <v>530</v>
      </c>
      <c r="E939" s="55" t="s">
        <v>202</v>
      </c>
      <c r="F939" s="235" t="s">
        <v>931</v>
      </c>
      <c r="G939" s="436">
        <f t="shared" si="113"/>
        <v>130984</v>
      </c>
      <c r="H939" s="436">
        <f t="shared" si="113"/>
        <v>130984</v>
      </c>
      <c r="J939" s="436">
        <f>J940</f>
        <v>130984</v>
      </c>
      <c r="K939" s="460">
        <f t="shared" si="112"/>
        <v>100</v>
      </c>
      <c r="L939" s="460">
        <f>J939/H939*100</f>
        <v>100</v>
      </c>
    </row>
    <row r="940" spans="1:12" ht="15">
      <c r="A940" s="62" t="s">
        <v>204</v>
      </c>
      <c r="B940" s="52" t="s">
        <v>673</v>
      </c>
      <c r="C940" s="55" t="s">
        <v>682</v>
      </c>
      <c r="D940" s="408" t="s">
        <v>530</v>
      </c>
      <c r="E940" s="55" t="s">
        <v>202</v>
      </c>
      <c r="F940" s="235" t="s">
        <v>1351</v>
      </c>
      <c r="G940" s="437">
        <v>130984</v>
      </c>
      <c r="H940" s="437">
        <v>130984</v>
      </c>
      <c r="J940" s="437">
        <v>130984</v>
      </c>
      <c r="K940" s="460">
        <f t="shared" si="112"/>
        <v>100</v>
      </c>
      <c r="L940" s="460">
        <f>J940/H940*100</f>
        <v>100</v>
      </c>
    </row>
    <row r="941" spans="1:12" ht="15">
      <c r="A941" s="49" t="s">
        <v>558</v>
      </c>
      <c r="B941" s="50" t="s">
        <v>674</v>
      </c>
      <c r="C941" s="50"/>
      <c r="D941" s="50"/>
      <c r="E941" s="420"/>
      <c r="F941" s="50"/>
      <c r="G941" s="434">
        <f>G942</f>
        <v>22161.300000000003</v>
      </c>
      <c r="H941" s="434">
        <f>H942</f>
        <v>22161.300000000003</v>
      </c>
      <c r="J941" s="434">
        <f>J942</f>
        <v>20721</v>
      </c>
      <c r="K941" s="51">
        <f aca="true" t="shared" si="114" ref="K941:K961">J941/G941*100</f>
        <v>93.50083253238752</v>
      </c>
      <c r="L941" s="51">
        <f aca="true" t="shared" si="115" ref="L941:L961">J941/H941*100</f>
        <v>93.50083253238752</v>
      </c>
    </row>
    <row r="942" spans="1:12" ht="15">
      <c r="A942" s="210" t="s">
        <v>1104</v>
      </c>
      <c r="B942" s="52" t="s">
        <v>674</v>
      </c>
      <c r="C942" s="55" t="s">
        <v>1105</v>
      </c>
      <c r="D942" s="55"/>
      <c r="E942" s="55"/>
      <c r="F942" s="55"/>
      <c r="G942" s="436">
        <f>G943+G949</f>
        <v>22161.300000000003</v>
      </c>
      <c r="H942" s="436">
        <f>H943+H949</f>
        <v>22161.300000000003</v>
      </c>
      <c r="J942" s="436">
        <f>J943+J949</f>
        <v>20721</v>
      </c>
      <c r="K942" s="460">
        <f t="shared" si="114"/>
        <v>93.50083253238752</v>
      </c>
      <c r="L942" s="460">
        <f t="shared" si="115"/>
        <v>93.50083253238752</v>
      </c>
    </row>
    <row r="943" spans="1:12" ht="24">
      <c r="A943" s="205" t="s">
        <v>488</v>
      </c>
      <c r="B943" s="52" t="s">
        <v>674</v>
      </c>
      <c r="C943" s="55" t="s">
        <v>1105</v>
      </c>
      <c r="D943" s="53" t="s">
        <v>1106</v>
      </c>
      <c r="E943" s="55"/>
      <c r="F943" s="55"/>
      <c r="G943" s="436">
        <f>G946</f>
        <v>2985.4</v>
      </c>
      <c r="H943" s="436">
        <f>H946</f>
        <v>2985.4</v>
      </c>
      <c r="J943" s="436">
        <f>J946</f>
        <v>2536.7</v>
      </c>
      <c r="K943" s="460">
        <f t="shared" si="114"/>
        <v>84.9701882494808</v>
      </c>
      <c r="L943" s="460">
        <f t="shared" si="115"/>
        <v>84.9701882494808</v>
      </c>
    </row>
    <row r="944" spans="1:12" ht="15">
      <c r="A944" s="63" t="s">
        <v>66</v>
      </c>
      <c r="B944" s="52"/>
      <c r="C944" s="53" t="s">
        <v>1105</v>
      </c>
      <c r="D944" s="53" t="s">
        <v>1106</v>
      </c>
      <c r="E944" s="55" t="s">
        <v>718</v>
      </c>
      <c r="F944" s="53"/>
      <c r="G944" s="445">
        <f aca="true" t="shared" si="116" ref="G944:H947">G945</f>
        <v>2985.4</v>
      </c>
      <c r="H944" s="445">
        <f t="shared" si="116"/>
        <v>2985.4</v>
      </c>
      <c r="J944" s="445">
        <f>J945</f>
        <v>2536.7</v>
      </c>
      <c r="K944" s="475">
        <f t="shared" si="114"/>
        <v>84.9701882494808</v>
      </c>
      <c r="L944" s="475">
        <f t="shared" si="115"/>
        <v>84.9701882494808</v>
      </c>
    </row>
    <row r="945" spans="1:12" ht="24">
      <c r="A945" s="62" t="s">
        <v>719</v>
      </c>
      <c r="B945" s="52" t="s">
        <v>674</v>
      </c>
      <c r="C945" s="53" t="s">
        <v>1105</v>
      </c>
      <c r="D945" s="53" t="s">
        <v>1106</v>
      </c>
      <c r="E945" s="55" t="s">
        <v>720</v>
      </c>
      <c r="F945" s="53"/>
      <c r="G945" s="445">
        <f t="shared" si="116"/>
        <v>2985.4</v>
      </c>
      <c r="H945" s="445">
        <f t="shared" si="116"/>
        <v>2985.4</v>
      </c>
      <c r="J945" s="445">
        <f>J946</f>
        <v>2536.7</v>
      </c>
      <c r="K945" s="475">
        <f t="shared" si="114"/>
        <v>84.9701882494808</v>
      </c>
      <c r="L945" s="475">
        <f t="shared" si="115"/>
        <v>84.9701882494808</v>
      </c>
    </row>
    <row r="946" spans="1:12" ht="23.25" customHeight="1">
      <c r="A946" s="206" t="s">
        <v>1108</v>
      </c>
      <c r="B946" s="52" t="s">
        <v>674</v>
      </c>
      <c r="C946" s="53" t="s">
        <v>1105</v>
      </c>
      <c r="D946" s="53" t="s">
        <v>1106</v>
      </c>
      <c r="E946" s="55" t="s">
        <v>721</v>
      </c>
      <c r="F946" s="53" t="s">
        <v>920</v>
      </c>
      <c r="G946" s="445">
        <f t="shared" si="116"/>
        <v>2985.4</v>
      </c>
      <c r="H946" s="445">
        <f t="shared" si="116"/>
        <v>2985.4</v>
      </c>
      <c r="J946" s="445">
        <f>J947</f>
        <v>2536.7</v>
      </c>
      <c r="K946" s="475">
        <f t="shared" si="114"/>
        <v>84.9701882494808</v>
      </c>
      <c r="L946" s="475">
        <f t="shared" si="115"/>
        <v>84.9701882494808</v>
      </c>
    </row>
    <row r="947" spans="1:12" ht="51" customHeight="1">
      <c r="A947" s="206" t="s">
        <v>63</v>
      </c>
      <c r="B947" s="52" t="s">
        <v>674</v>
      </c>
      <c r="C947" s="53" t="s">
        <v>1105</v>
      </c>
      <c r="D947" s="53" t="s">
        <v>1106</v>
      </c>
      <c r="E947" s="55" t="s">
        <v>721</v>
      </c>
      <c r="F947" s="53" t="s">
        <v>64</v>
      </c>
      <c r="G947" s="445">
        <f t="shared" si="116"/>
        <v>2985.4</v>
      </c>
      <c r="H947" s="445">
        <f t="shared" si="116"/>
        <v>2985.4</v>
      </c>
      <c r="J947" s="445">
        <f>J948</f>
        <v>2536.7</v>
      </c>
      <c r="K947" s="475">
        <f t="shared" si="114"/>
        <v>84.9701882494808</v>
      </c>
      <c r="L947" s="475">
        <f t="shared" si="115"/>
        <v>84.9701882494808</v>
      </c>
    </row>
    <row r="948" spans="1:12" ht="23.25" customHeight="1">
      <c r="A948" s="206" t="s">
        <v>65</v>
      </c>
      <c r="B948" s="52" t="s">
        <v>674</v>
      </c>
      <c r="C948" s="53" t="s">
        <v>1105</v>
      </c>
      <c r="D948" s="53" t="s">
        <v>1106</v>
      </c>
      <c r="E948" s="55" t="s">
        <v>721</v>
      </c>
      <c r="F948" s="53" t="s">
        <v>527</v>
      </c>
      <c r="G948" s="446">
        <v>2985.4</v>
      </c>
      <c r="H948" s="446">
        <v>2985.4</v>
      </c>
      <c r="J948" s="446">
        <v>2536.7</v>
      </c>
      <c r="K948" s="475">
        <f t="shared" si="114"/>
        <v>84.9701882494808</v>
      </c>
      <c r="L948" s="475">
        <f t="shared" si="115"/>
        <v>84.9701882494808</v>
      </c>
    </row>
    <row r="949" spans="1:12" ht="37.5" customHeight="1">
      <c r="A949" s="61" t="s">
        <v>1314</v>
      </c>
      <c r="B949" s="52" t="s">
        <v>674</v>
      </c>
      <c r="C949" s="55" t="s">
        <v>1105</v>
      </c>
      <c r="D949" s="55" t="s">
        <v>530</v>
      </c>
      <c r="E949" s="55"/>
      <c r="F949" s="55"/>
      <c r="G949" s="436">
        <f>G950</f>
        <v>19175.9</v>
      </c>
      <c r="H949" s="436">
        <f>H950</f>
        <v>19175.9</v>
      </c>
      <c r="J949" s="436">
        <f>J950</f>
        <v>18184.3</v>
      </c>
      <c r="K949" s="460">
        <f t="shared" si="114"/>
        <v>94.8289258913532</v>
      </c>
      <c r="L949" s="460">
        <f t="shared" si="115"/>
        <v>94.8289258913532</v>
      </c>
    </row>
    <row r="950" spans="1:12" ht="15">
      <c r="A950" s="63" t="s">
        <v>66</v>
      </c>
      <c r="B950" s="52" t="s">
        <v>674</v>
      </c>
      <c r="C950" s="55" t="s">
        <v>1105</v>
      </c>
      <c r="D950" s="55" t="s">
        <v>530</v>
      </c>
      <c r="E950" s="55" t="s">
        <v>718</v>
      </c>
      <c r="F950" s="55"/>
      <c r="G950" s="436">
        <f>G951</f>
        <v>19175.9</v>
      </c>
      <c r="H950" s="436">
        <f>H951</f>
        <v>19175.9</v>
      </c>
      <c r="J950" s="436">
        <f>J951</f>
        <v>18184.3</v>
      </c>
      <c r="K950" s="475">
        <f t="shared" si="114"/>
        <v>94.8289258913532</v>
      </c>
      <c r="L950" s="475">
        <f t="shared" si="115"/>
        <v>94.8289258913532</v>
      </c>
    </row>
    <row r="951" spans="1:12" ht="30" customHeight="1">
      <c r="A951" s="62" t="s">
        <v>719</v>
      </c>
      <c r="B951" s="52" t="s">
        <v>674</v>
      </c>
      <c r="C951" s="55" t="s">
        <v>1105</v>
      </c>
      <c r="D951" s="55" t="s">
        <v>530</v>
      </c>
      <c r="E951" s="55" t="s">
        <v>720</v>
      </c>
      <c r="F951" s="55"/>
      <c r="G951" s="436">
        <f>G952+G959</f>
        <v>19175.9</v>
      </c>
      <c r="H951" s="436">
        <f>H952+H959</f>
        <v>19175.9</v>
      </c>
      <c r="J951" s="436">
        <f>J952+J959</f>
        <v>18184.3</v>
      </c>
      <c r="K951" s="475">
        <f t="shared" si="114"/>
        <v>94.8289258913532</v>
      </c>
      <c r="L951" s="475">
        <f t="shared" si="115"/>
        <v>94.8289258913532</v>
      </c>
    </row>
    <row r="952" spans="1:12" ht="19.5" customHeight="1">
      <c r="A952" s="57" t="s">
        <v>531</v>
      </c>
      <c r="B952" s="52" t="s">
        <v>674</v>
      </c>
      <c r="C952" s="55" t="s">
        <v>532</v>
      </c>
      <c r="D952" s="55" t="s">
        <v>530</v>
      </c>
      <c r="E952" s="55" t="s">
        <v>67</v>
      </c>
      <c r="F952" s="55" t="s">
        <v>920</v>
      </c>
      <c r="G952" s="445">
        <f>G953+G955+G957</f>
        <v>19171.2</v>
      </c>
      <c r="H952" s="445">
        <f>H953+H955+H957</f>
        <v>19171.2</v>
      </c>
      <c r="J952" s="445">
        <f>J953+J955+J957</f>
        <v>18181.5</v>
      </c>
      <c r="K952" s="475">
        <f t="shared" si="114"/>
        <v>94.83756885327992</v>
      </c>
      <c r="L952" s="475">
        <f t="shared" si="115"/>
        <v>94.83756885327992</v>
      </c>
    </row>
    <row r="953" spans="1:12" ht="50.25" customHeight="1">
      <c r="A953" s="206" t="s">
        <v>63</v>
      </c>
      <c r="B953" s="52" t="s">
        <v>674</v>
      </c>
      <c r="C953" s="55" t="s">
        <v>1105</v>
      </c>
      <c r="D953" s="55" t="s">
        <v>530</v>
      </c>
      <c r="E953" s="55" t="s">
        <v>67</v>
      </c>
      <c r="F953" s="55" t="s">
        <v>64</v>
      </c>
      <c r="G953" s="445">
        <f>G954</f>
        <v>18721.2</v>
      </c>
      <c r="H953" s="445">
        <f>H954</f>
        <v>18721.2</v>
      </c>
      <c r="J953" s="445">
        <f>J954</f>
        <v>17817</v>
      </c>
      <c r="K953" s="475">
        <f t="shared" si="114"/>
        <v>95.17018139862829</v>
      </c>
      <c r="L953" s="475">
        <f t="shared" si="115"/>
        <v>95.17018139862829</v>
      </c>
    </row>
    <row r="954" spans="1:12" ht="26.25" customHeight="1">
      <c r="A954" s="206" t="s">
        <v>65</v>
      </c>
      <c r="B954" s="52" t="s">
        <v>674</v>
      </c>
      <c r="C954" s="55" t="s">
        <v>1105</v>
      </c>
      <c r="D954" s="55" t="s">
        <v>530</v>
      </c>
      <c r="E954" s="55" t="s">
        <v>67</v>
      </c>
      <c r="F954" s="55" t="s">
        <v>527</v>
      </c>
      <c r="G954" s="446">
        <f>18721.3-0.1</f>
        <v>18721.2</v>
      </c>
      <c r="H954" s="446">
        <f>18721.3-0.1</f>
        <v>18721.2</v>
      </c>
      <c r="J954" s="446">
        <v>17817</v>
      </c>
      <c r="K954" s="475">
        <f t="shared" si="114"/>
        <v>95.17018139862829</v>
      </c>
      <c r="L954" s="475">
        <f t="shared" si="115"/>
        <v>95.17018139862829</v>
      </c>
    </row>
    <row r="955" spans="1:12" ht="30" customHeight="1">
      <c r="A955" s="206" t="s">
        <v>68</v>
      </c>
      <c r="B955" s="52" t="s">
        <v>674</v>
      </c>
      <c r="C955" s="55" t="s">
        <v>1105</v>
      </c>
      <c r="D955" s="55" t="s">
        <v>530</v>
      </c>
      <c r="E955" s="55" t="s">
        <v>67</v>
      </c>
      <c r="F955" s="55" t="s">
        <v>528</v>
      </c>
      <c r="G955" s="436">
        <f>G956</f>
        <v>350</v>
      </c>
      <c r="H955" s="436">
        <f>H956</f>
        <v>350</v>
      </c>
      <c r="J955" s="436">
        <f>J956</f>
        <v>283</v>
      </c>
      <c r="K955" s="475">
        <f t="shared" si="114"/>
        <v>80.85714285714286</v>
      </c>
      <c r="L955" s="475">
        <f t="shared" si="115"/>
        <v>80.85714285714286</v>
      </c>
    </row>
    <row r="956" spans="1:12" ht="26.25" customHeight="1">
      <c r="A956" s="206" t="s">
        <v>710</v>
      </c>
      <c r="B956" s="52" t="s">
        <v>674</v>
      </c>
      <c r="C956" s="55" t="s">
        <v>1105</v>
      </c>
      <c r="D956" s="55" t="s">
        <v>530</v>
      </c>
      <c r="E956" s="55" t="s">
        <v>67</v>
      </c>
      <c r="F956" s="55" t="s">
        <v>1486</v>
      </c>
      <c r="G956" s="437">
        <v>350</v>
      </c>
      <c r="H956" s="437">
        <v>350</v>
      </c>
      <c r="J956" s="437">
        <v>283</v>
      </c>
      <c r="K956" s="475">
        <f t="shared" si="114"/>
        <v>80.85714285714286</v>
      </c>
      <c r="L956" s="475">
        <f t="shared" si="115"/>
        <v>80.85714285714286</v>
      </c>
    </row>
    <row r="957" spans="1:12" ht="20.25" customHeight="1">
      <c r="A957" s="206" t="s">
        <v>793</v>
      </c>
      <c r="B957" s="52" t="s">
        <v>674</v>
      </c>
      <c r="C957" s="55" t="s">
        <v>1105</v>
      </c>
      <c r="D957" s="55" t="s">
        <v>530</v>
      </c>
      <c r="E957" s="55" t="s">
        <v>67</v>
      </c>
      <c r="F957" s="55" t="s">
        <v>794</v>
      </c>
      <c r="G957" s="436">
        <f>G958</f>
        <v>100</v>
      </c>
      <c r="H957" s="436">
        <f>H958</f>
        <v>100</v>
      </c>
      <c r="J957" s="436">
        <f>J958</f>
        <v>81.5</v>
      </c>
      <c r="K957" s="475">
        <f t="shared" si="114"/>
        <v>81.5</v>
      </c>
      <c r="L957" s="475">
        <f t="shared" si="115"/>
        <v>81.5</v>
      </c>
    </row>
    <row r="958" spans="1:12" ht="20.25" customHeight="1">
      <c r="A958" s="206" t="s">
        <v>70</v>
      </c>
      <c r="B958" s="52" t="s">
        <v>674</v>
      </c>
      <c r="C958" s="55" t="s">
        <v>1105</v>
      </c>
      <c r="D958" s="55" t="s">
        <v>530</v>
      </c>
      <c r="E958" s="55" t="s">
        <v>67</v>
      </c>
      <c r="F958" s="55" t="s">
        <v>71</v>
      </c>
      <c r="G958" s="437">
        <v>100</v>
      </c>
      <c r="H958" s="437">
        <v>100</v>
      </c>
      <c r="J958" s="437">
        <v>81.5</v>
      </c>
      <c r="K958" s="475">
        <f t="shared" si="114"/>
        <v>81.5</v>
      </c>
      <c r="L958" s="475">
        <f t="shared" si="115"/>
        <v>81.5</v>
      </c>
    </row>
    <row r="959" spans="1:12" ht="20.25" customHeight="1">
      <c r="A959" s="207" t="s">
        <v>1487</v>
      </c>
      <c r="B959" s="52" t="s">
        <v>674</v>
      </c>
      <c r="C959" s="55" t="s">
        <v>1105</v>
      </c>
      <c r="D959" s="55" t="s">
        <v>530</v>
      </c>
      <c r="E959" s="55" t="s">
        <v>72</v>
      </c>
      <c r="F959" s="55" t="s">
        <v>920</v>
      </c>
      <c r="G959" s="436">
        <f>G960</f>
        <v>4.7</v>
      </c>
      <c r="H959" s="436">
        <f>H960</f>
        <v>4.7</v>
      </c>
      <c r="J959" s="436">
        <f>J960</f>
        <v>2.8</v>
      </c>
      <c r="K959" s="475">
        <f t="shared" si="114"/>
        <v>59.57446808510638</v>
      </c>
      <c r="L959" s="475">
        <f t="shared" si="115"/>
        <v>59.57446808510638</v>
      </c>
    </row>
    <row r="960" spans="1:12" ht="20.25" customHeight="1">
      <c r="A960" s="206" t="s">
        <v>793</v>
      </c>
      <c r="B960" s="52" t="s">
        <v>674</v>
      </c>
      <c r="C960" s="55" t="s">
        <v>1105</v>
      </c>
      <c r="D960" s="55" t="s">
        <v>530</v>
      </c>
      <c r="E960" s="55" t="s">
        <v>72</v>
      </c>
      <c r="F960" s="55" t="s">
        <v>794</v>
      </c>
      <c r="G960" s="436">
        <f>G961</f>
        <v>4.7</v>
      </c>
      <c r="H960" s="436">
        <f>H961</f>
        <v>4.7</v>
      </c>
      <c r="J960" s="436">
        <f>J961</f>
        <v>2.8</v>
      </c>
      <c r="K960" s="475">
        <f t="shared" si="114"/>
        <v>59.57446808510638</v>
      </c>
      <c r="L960" s="475">
        <f t="shared" si="115"/>
        <v>59.57446808510638</v>
      </c>
    </row>
    <row r="961" spans="1:12" ht="20.25" customHeight="1">
      <c r="A961" s="206" t="s">
        <v>70</v>
      </c>
      <c r="B961" s="52" t="s">
        <v>674</v>
      </c>
      <c r="C961" s="55" t="s">
        <v>1105</v>
      </c>
      <c r="D961" s="55" t="s">
        <v>530</v>
      </c>
      <c r="E961" s="55" t="s">
        <v>72</v>
      </c>
      <c r="F961" s="55" t="s">
        <v>71</v>
      </c>
      <c r="G961" s="437">
        <v>4.7</v>
      </c>
      <c r="H961" s="437">
        <v>4.7</v>
      </c>
      <c r="J961" s="437">
        <v>2.8</v>
      </c>
      <c r="K961" s="475">
        <f t="shared" si="114"/>
        <v>59.57446808510638</v>
      </c>
      <c r="L961" s="475">
        <f t="shared" si="115"/>
        <v>59.57446808510638</v>
      </c>
    </row>
    <row r="962" spans="1:12" ht="27.75" customHeight="1">
      <c r="A962" s="49" t="s">
        <v>802</v>
      </c>
      <c r="B962" s="50" t="s">
        <v>634</v>
      </c>
      <c r="C962" s="52"/>
      <c r="D962" s="52"/>
      <c r="E962" s="52"/>
      <c r="F962" s="52"/>
      <c r="G962" s="434">
        <f aca="true" t="shared" si="117" ref="G962:H965">G963</f>
        <v>4988.3</v>
      </c>
      <c r="H962" s="434">
        <f t="shared" si="117"/>
        <v>4988.3</v>
      </c>
      <c r="J962" s="434">
        <f>J963</f>
        <v>4449.1</v>
      </c>
      <c r="K962" s="51">
        <f aca="true" t="shared" si="118" ref="K962:K972">J962/G962*100</f>
        <v>89.19070625263116</v>
      </c>
      <c r="L962" s="51">
        <f aca="true" t="shared" si="119" ref="L962:L972">J962/H962*100</f>
        <v>89.19070625263116</v>
      </c>
    </row>
    <row r="963" spans="1:12" ht="15">
      <c r="A963" s="210" t="s">
        <v>1104</v>
      </c>
      <c r="B963" s="52" t="s">
        <v>634</v>
      </c>
      <c r="C963" s="55" t="s">
        <v>532</v>
      </c>
      <c r="D963" s="55"/>
      <c r="E963" s="55"/>
      <c r="F963" s="55"/>
      <c r="G963" s="436">
        <f t="shared" si="117"/>
        <v>4988.3</v>
      </c>
      <c r="H963" s="436">
        <f t="shared" si="117"/>
        <v>4988.3</v>
      </c>
      <c r="J963" s="436">
        <f>J964</f>
        <v>4449.1</v>
      </c>
      <c r="K963" s="476">
        <f t="shared" si="118"/>
        <v>89.19070625263116</v>
      </c>
      <c r="L963" s="476">
        <f t="shared" si="119"/>
        <v>89.19070625263116</v>
      </c>
    </row>
    <row r="964" spans="1:12" ht="22.5">
      <c r="A964" s="61" t="s">
        <v>416</v>
      </c>
      <c r="B964" s="52" t="s">
        <v>634</v>
      </c>
      <c r="C964" s="55" t="s">
        <v>1105</v>
      </c>
      <c r="D964" s="55" t="s">
        <v>417</v>
      </c>
      <c r="E964" s="55"/>
      <c r="F964" s="55"/>
      <c r="G964" s="436">
        <f t="shared" si="117"/>
        <v>4988.3</v>
      </c>
      <c r="H964" s="436">
        <f t="shared" si="117"/>
        <v>4988.3</v>
      </c>
      <c r="J964" s="436">
        <f>J965</f>
        <v>4449.1</v>
      </c>
      <c r="K964" s="475">
        <f t="shared" si="118"/>
        <v>89.19070625263116</v>
      </c>
      <c r="L964" s="475">
        <f t="shared" si="119"/>
        <v>89.19070625263116</v>
      </c>
    </row>
    <row r="965" spans="1:12" ht="19.5" customHeight="1">
      <c r="A965" s="56" t="s">
        <v>66</v>
      </c>
      <c r="B965" s="52" t="s">
        <v>634</v>
      </c>
      <c r="C965" s="55" t="s">
        <v>532</v>
      </c>
      <c r="D965" s="55" t="s">
        <v>417</v>
      </c>
      <c r="E965" s="55" t="s">
        <v>718</v>
      </c>
      <c r="F965" s="55"/>
      <c r="G965" s="436">
        <f t="shared" si="117"/>
        <v>4988.3</v>
      </c>
      <c r="H965" s="436">
        <f t="shared" si="117"/>
        <v>4988.3</v>
      </c>
      <c r="J965" s="436">
        <f>J966</f>
        <v>4449.1</v>
      </c>
      <c r="K965" s="475">
        <f t="shared" si="118"/>
        <v>89.19070625263116</v>
      </c>
      <c r="L965" s="475">
        <f t="shared" si="119"/>
        <v>89.19070625263116</v>
      </c>
    </row>
    <row r="966" spans="1:12" ht="24" customHeight="1">
      <c r="A966" s="207" t="s">
        <v>645</v>
      </c>
      <c r="B966" s="52" t="s">
        <v>634</v>
      </c>
      <c r="C966" s="55" t="s">
        <v>532</v>
      </c>
      <c r="D966" s="55" t="s">
        <v>417</v>
      </c>
      <c r="E966" s="55" t="s">
        <v>646</v>
      </c>
      <c r="F966" s="55"/>
      <c r="G966" s="436">
        <f>G967+G969+G971</f>
        <v>4988.3</v>
      </c>
      <c r="H966" s="436">
        <f>H967+H969+H971</f>
        <v>4988.3</v>
      </c>
      <c r="J966" s="436">
        <f>J967+J969+J971</f>
        <v>4449.1</v>
      </c>
      <c r="K966" s="475">
        <f t="shared" si="118"/>
        <v>89.19070625263116</v>
      </c>
      <c r="L966" s="475">
        <f t="shared" si="119"/>
        <v>89.19070625263116</v>
      </c>
    </row>
    <row r="967" spans="1:12" ht="46.5" customHeight="1">
      <c r="A967" s="206" t="s">
        <v>63</v>
      </c>
      <c r="B967" s="52" t="s">
        <v>634</v>
      </c>
      <c r="C967" s="55" t="s">
        <v>1105</v>
      </c>
      <c r="D967" s="55" t="s">
        <v>417</v>
      </c>
      <c r="E967" s="55" t="s">
        <v>647</v>
      </c>
      <c r="F967" s="55" t="s">
        <v>64</v>
      </c>
      <c r="G967" s="436">
        <f>G968</f>
        <v>4844.8</v>
      </c>
      <c r="H967" s="436">
        <f>H968</f>
        <v>4844.8</v>
      </c>
      <c r="J967" s="436">
        <f>J968</f>
        <v>4317.6</v>
      </c>
      <c r="K967" s="475">
        <f t="shared" si="118"/>
        <v>89.11822985468957</v>
      </c>
      <c r="L967" s="475">
        <f t="shared" si="119"/>
        <v>89.11822985468957</v>
      </c>
    </row>
    <row r="968" spans="1:12" ht="24" customHeight="1">
      <c r="A968" s="206" t="s">
        <v>65</v>
      </c>
      <c r="B968" s="52" t="s">
        <v>634</v>
      </c>
      <c r="C968" s="55" t="s">
        <v>1105</v>
      </c>
      <c r="D968" s="55" t="s">
        <v>417</v>
      </c>
      <c r="E968" s="55" t="s">
        <v>647</v>
      </c>
      <c r="F968" s="55" t="s">
        <v>527</v>
      </c>
      <c r="G968" s="437">
        <v>4844.8</v>
      </c>
      <c r="H968" s="437">
        <v>4844.8</v>
      </c>
      <c r="J968" s="437">
        <v>4317.6</v>
      </c>
      <c r="K968" s="475">
        <f t="shared" si="118"/>
        <v>89.11822985468957</v>
      </c>
      <c r="L968" s="475">
        <f t="shared" si="119"/>
        <v>89.11822985468957</v>
      </c>
    </row>
    <row r="969" spans="1:12" ht="24.75" customHeight="1">
      <c r="A969" s="206" t="s">
        <v>68</v>
      </c>
      <c r="B969" s="52" t="s">
        <v>634</v>
      </c>
      <c r="C969" s="55" t="s">
        <v>1105</v>
      </c>
      <c r="D969" s="55" t="s">
        <v>417</v>
      </c>
      <c r="E969" s="55" t="s">
        <v>647</v>
      </c>
      <c r="F969" s="55" t="s">
        <v>528</v>
      </c>
      <c r="G969" s="436">
        <f>G970</f>
        <v>110.5</v>
      </c>
      <c r="H969" s="436">
        <f>H970</f>
        <v>108.5</v>
      </c>
      <c r="J969" s="436">
        <f>J970</f>
        <v>96.5</v>
      </c>
      <c r="K969" s="475">
        <f t="shared" si="118"/>
        <v>87.33031674208145</v>
      </c>
      <c r="L969" s="475">
        <f t="shared" si="119"/>
        <v>88.94009216589862</v>
      </c>
    </row>
    <row r="970" spans="1:12" ht="18" customHeight="1">
      <c r="A970" s="206" t="s">
        <v>710</v>
      </c>
      <c r="B970" s="52" t="s">
        <v>634</v>
      </c>
      <c r="C970" s="55" t="s">
        <v>1105</v>
      </c>
      <c r="D970" s="55" t="s">
        <v>417</v>
      </c>
      <c r="E970" s="55" t="s">
        <v>647</v>
      </c>
      <c r="F970" s="55" t="s">
        <v>1486</v>
      </c>
      <c r="G970" s="437">
        <v>110.5</v>
      </c>
      <c r="H970" s="437">
        <f>110.5-2</f>
        <v>108.5</v>
      </c>
      <c r="J970" s="437">
        <v>96.5</v>
      </c>
      <c r="K970" s="475">
        <f t="shared" si="118"/>
        <v>87.33031674208145</v>
      </c>
      <c r="L970" s="475">
        <f t="shared" si="119"/>
        <v>88.94009216589862</v>
      </c>
    </row>
    <row r="971" spans="1:12" ht="15.75" customHeight="1">
      <c r="A971" s="206" t="s">
        <v>793</v>
      </c>
      <c r="B971" s="52" t="s">
        <v>634</v>
      </c>
      <c r="C971" s="55" t="s">
        <v>1105</v>
      </c>
      <c r="D971" s="55" t="s">
        <v>417</v>
      </c>
      <c r="E971" s="55" t="s">
        <v>647</v>
      </c>
      <c r="F971" s="55" t="s">
        <v>794</v>
      </c>
      <c r="G971" s="436">
        <f>G972</f>
        <v>33</v>
      </c>
      <c r="H971" s="436">
        <f>H972</f>
        <v>35</v>
      </c>
      <c r="J971" s="436">
        <f>J972</f>
        <v>35</v>
      </c>
      <c r="K971" s="475">
        <f t="shared" si="118"/>
        <v>106.06060606060606</v>
      </c>
      <c r="L971" s="475">
        <f t="shared" si="119"/>
        <v>100</v>
      </c>
    </row>
    <row r="972" spans="1:12" ht="15.75" customHeight="1">
      <c r="A972" s="206" t="s">
        <v>70</v>
      </c>
      <c r="B972" s="52" t="s">
        <v>634</v>
      </c>
      <c r="C972" s="55" t="s">
        <v>1105</v>
      </c>
      <c r="D972" s="55" t="s">
        <v>417</v>
      </c>
      <c r="E972" s="55" t="s">
        <v>647</v>
      </c>
      <c r="F972" s="55" t="s">
        <v>71</v>
      </c>
      <c r="G972" s="437">
        <v>33</v>
      </c>
      <c r="H972" s="437">
        <f>33+2</f>
        <v>35</v>
      </c>
      <c r="J972" s="437">
        <f>33+2</f>
        <v>35</v>
      </c>
      <c r="K972" s="475">
        <f t="shared" si="118"/>
        <v>106.06060606060606</v>
      </c>
      <c r="L972" s="475">
        <f t="shared" si="119"/>
        <v>100</v>
      </c>
    </row>
    <row r="973" spans="1:12" ht="29.25" customHeight="1">
      <c r="A973" s="49" t="s">
        <v>1349</v>
      </c>
      <c r="B973" s="50" t="s">
        <v>1350</v>
      </c>
      <c r="C973" s="50"/>
      <c r="D973" s="50"/>
      <c r="E973" s="50"/>
      <c r="F973" s="50"/>
      <c r="G973" s="434">
        <f aca="true" t="shared" si="120" ref="G973:H975">G974</f>
        <v>20555.5</v>
      </c>
      <c r="H973" s="434">
        <f t="shared" si="120"/>
        <v>20555.5</v>
      </c>
      <c r="J973" s="434">
        <f>J974</f>
        <v>18253.899999999998</v>
      </c>
      <c r="K973" s="51">
        <f aca="true" t="shared" si="121" ref="K973:K984">J973/G973*100</f>
        <v>88.80299676485612</v>
      </c>
      <c r="L973" s="51">
        <f aca="true" t="shared" si="122" ref="L973:L984">J973/H973*100</f>
        <v>88.80299676485612</v>
      </c>
    </row>
    <row r="974" spans="1:12" ht="15">
      <c r="A974" s="210" t="s">
        <v>1104</v>
      </c>
      <c r="B974" s="52" t="s">
        <v>1350</v>
      </c>
      <c r="C974" s="55" t="s">
        <v>1105</v>
      </c>
      <c r="D974" s="55"/>
      <c r="E974" s="55"/>
      <c r="F974" s="55"/>
      <c r="G974" s="436">
        <f t="shared" si="120"/>
        <v>20555.5</v>
      </c>
      <c r="H974" s="436">
        <f t="shared" si="120"/>
        <v>20555.5</v>
      </c>
      <c r="J974" s="436">
        <f>J975</f>
        <v>18253.899999999998</v>
      </c>
      <c r="K974" s="476">
        <f t="shared" si="121"/>
        <v>88.80299676485612</v>
      </c>
      <c r="L974" s="476">
        <f t="shared" si="122"/>
        <v>88.80299676485612</v>
      </c>
    </row>
    <row r="975" spans="1:12" ht="22.5">
      <c r="A975" s="61" t="s">
        <v>416</v>
      </c>
      <c r="B975" s="52" t="s">
        <v>1350</v>
      </c>
      <c r="C975" s="55" t="s">
        <v>1105</v>
      </c>
      <c r="D975" s="55" t="s">
        <v>417</v>
      </c>
      <c r="E975" s="55"/>
      <c r="F975" s="55"/>
      <c r="G975" s="436">
        <f t="shared" si="120"/>
        <v>20555.5</v>
      </c>
      <c r="H975" s="436">
        <f t="shared" si="120"/>
        <v>20555.5</v>
      </c>
      <c r="J975" s="436">
        <f>J976</f>
        <v>18253.899999999998</v>
      </c>
      <c r="K975" s="475">
        <f t="shared" si="121"/>
        <v>88.80299676485612</v>
      </c>
      <c r="L975" s="475">
        <f t="shared" si="122"/>
        <v>88.80299676485612</v>
      </c>
    </row>
    <row r="976" spans="1:12" ht="18.75" customHeight="1">
      <c r="A976" s="56" t="s">
        <v>66</v>
      </c>
      <c r="B976" s="52" t="s">
        <v>1350</v>
      </c>
      <c r="C976" s="55" t="s">
        <v>1105</v>
      </c>
      <c r="D976" s="55" t="s">
        <v>417</v>
      </c>
      <c r="E976" s="55" t="s">
        <v>718</v>
      </c>
      <c r="F976" s="55"/>
      <c r="G976" s="436">
        <f>G977+G985</f>
        <v>20555.5</v>
      </c>
      <c r="H976" s="436">
        <f>H977+H985</f>
        <v>20555.5</v>
      </c>
      <c r="J976" s="436">
        <f>J977+J985</f>
        <v>18253.899999999998</v>
      </c>
      <c r="K976" s="475">
        <f t="shared" si="121"/>
        <v>88.80299676485612</v>
      </c>
      <c r="L976" s="475">
        <f t="shared" si="122"/>
        <v>88.80299676485612</v>
      </c>
    </row>
    <row r="977" spans="1:12" ht="34.5" customHeight="1">
      <c r="A977" s="57" t="s">
        <v>641</v>
      </c>
      <c r="B977" s="52" t="s">
        <v>1350</v>
      </c>
      <c r="C977" s="55" t="s">
        <v>1105</v>
      </c>
      <c r="D977" s="55" t="s">
        <v>417</v>
      </c>
      <c r="E977" s="55" t="s">
        <v>642</v>
      </c>
      <c r="F977" s="55"/>
      <c r="G977" s="436">
        <f>G978+G980+G983</f>
        <v>20555.5</v>
      </c>
      <c r="H977" s="436">
        <f>H978+H980+H983</f>
        <v>20555.5</v>
      </c>
      <c r="J977" s="436">
        <f>J978+J980+J983</f>
        <v>18253.899999999998</v>
      </c>
      <c r="K977" s="475">
        <f t="shared" si="121"/>
        <v>88.80299676485612</v>
      </c>
      <c r="L977" s="475">
        <f t="shared" si="122"/>
        <v>88.80299676485612</v>
      </c>
    </row>
    <row r="978" spans="1:12" ht="34.5" customHeight="1">
      <c r="A978" s="206" t="s">
        <v>63</v>
      </c>
      <c r="B978" s="52" t="s">
        <v>1350</v>
      </c>
      <c r="C978" s="55" t="s">
        <v>1105</v>
      </c>
      <c r="D978" s="55" t="s">
        <v>417</v>
      </c>
      <c r="E978" s="55" t="s">
        <v>643</v>
      </c>
      <c r="F978" s="55" t="s">
        <v>64</v>
      </c>
      <c r="G978" s="436">
        <f>G979</f>
        <v>19839.6</v>
      </c>
      <c r="H978" s="436">
        <f>H979</f>
        <v>19839.6</v>
      </c>
      <c r="J978" s="436">
        <f>J979</f>
        <v>17922</v>
      </c>
      <c r="K978" s="475">
        <f t="shared" si="121"/>
        <v>90.33448255005142</v>
      </c>
      <c r="L978" s="475">
        <f t="shared" si="122"/>
        <v>90.33448255005142</v>
      </c>
    </row>
    <row r="979" spans="1:12" ht="23.25" customHeight="1">
      <c r="A979" s="206" t="s">
        <v>65</v>
      </c>
      <c r="B979" s="52" t="s">
        <v>1350</v>
      </c>
      <c r="C979" s="55" t="s">
        <v>1105</v>
      </c>
      <c r="D979" s="55" t="s">
        <v>417</v>
      </c>
      <c r="E979" s="55" t="s">
        <v>643</v>
      </c>
      <c r="F979" s="55" t="s">
        <v>527</v>
      </c>
      <c r="G979" s="437">
        <v>19839.6</v>
      </c>
      <c r="H979" s="437">
        <v>19839.6</v>
      </c>
      <c r="J979" s="437">
        <v>17922</v>
      </c>
      <c r="K979" s="475">
        <f t="shared" si="121"/>
        <v>90.33448255005142</v>
      </c>
      <c r="L979" s="475">
        <f t="shared" si="122"/>
        <v>90.33448255005142</v>
      </c>
    </row>
    <row r="980" spans="1:12" ht="25.5" customHeight="1">
      <c r="A980" s="206" t="s">
        <v>68</v>
      </c>
      <c r="B980" s="52" t="s">
        <v>1350</v>
      </c>
      <c r="C980" s="55" t="s">
        <v>1105</v>
      </c>
      <c r="D980" s="55" t="s">
        <v>417</v>
      </c>
      <c r="E980" s="55" t="s">
        <v>643</v>
      </c>
      <c r="F980" s="55" t="s">
        <v>528</v>
      </c>
      <c r="G980" s="436">
        <f>G981</f>
        <v>703.9</v>
      </c>
      <c r="H980" s="436">
        <f>H981</f>
        <v>703.9</v>
      </c>
      <c r="J980" s="436">
        <f>J981</f>
        <v>328.8</v>
      </c>
      <c r="K980" s="475">
        <f t="shared" si="121"/>
        <v>46.71118056542123</v>
      </c>
      <c r="L980" s="475">
        <f t="shared" si="122"/>
        <v>46.71118056542123</v>
      </c>
    </row>
    <row r="981" spans="1:12" ht="18.75" customHeight="1">
      <c r="A981" s="206" t="s">
        <v>710</v>
      </c>
      <c r="B981" s="52" t="s">
        <v>1350</v>
      </c>
      <c r="C981" s="55" t="s">
        <v>1105</v>
      </c>
      <c r="D981" s="55" t="s">
        <v>417</v>
      </c>
      <c r="E981" s="55" t="s">
        <v>643</v>
      </c>
      <c r="F981" s="55" t="s">
        <v>1486</v>
      </c>
      <c r="G981" s="437">
        <v>703.9</v>
      </c>
      <c r="H981" s="437">
        <v>703.9</v>
      </c>
      <c r="J981" s="437">
        <v>328.8</v>
      </c>
      <c r="K981" s="475">
        <f t="shared" si="121"/>
        <v>46.71118056542123</v>
      </c>
      <c r="L981" s="475">
        <f t="shared" si="122"/>
        <v>46.71118056542123</v>
      </c>
    </row>
    <row r="982" spans="1:12" ht="15">
      <c r="A982" s="207" t="s">
        <v>1487</v>
      </c>
      <c r="B982" s="52" t="s">
        <v>1350</v>
      </c>
      <c r="C982" s="55" t="s">
        <v>1105</v>
      </c>
      <c r="D982" s="55" t="s">
        <v>417</v>
      </c>
      <c r="E982" s="55" t="s">
        <v>644</v>
      </c>
      <c r="F982" s="55" t="s">
        <v>920</v>
      </c>
      <c r="G982" s="436">
        <f>G983</f>
        <v>12</v>
      </c>
      <c r="H982" s="436">
        <f>H983</f>
        <v>12</v>
      </c>
      <c r="J982" s="436">
        <f>J983</f>
        <v>3.1</v>
      </c>
      <c r="K982" s="475">
        <f t="shared" si="121"/>
        <v>25.833333333333336</v>
      </c>
      <c r="L982" s="475">
        <f t="shared" si="122"/>
        <v>25.833333333333336</v>
      </c>
    </row>
    <row r="983" spans="1:12" ht="15">
      <c r="A983" s="206" t="s">
        <v>793</v>
      </c>
      <c r="B983" s="52" t="s">
        <v>1350</v>
      </c>
      <c r="C983" s="55" t="s">
        <v>1105</v>
      </c>
      <c r="D983" s="55" t="s">
        <v>417</v>
      </c>
      <c r="E983" s="55" t="s">
        <v>644</v>
      </c>
      <c r="F983" s="55" t="s">
        <v>794</v>
      </c>
      <c r="G983" s="436">
        <f>G984</f>
        <v>12</v>
      </c>
      <c r="H983" s="436">
        <f>H984</f>
        <v>12</v>
      </c>
      <c r="J983" s="436">
        <f>J984</f>
        <v>3.1</v>
      </c>
      <c r="K983" s="475">
        <f t="shared" si="121"/>
        <v>25.833333333333336</v>
      </c>
      <c r="L983" s="475">
        <f t="shared" si="122"/>
        <v>25.833333333333336</v>
      </c>
    </row>
    <row r="984" spans="1:12" ht="15">
      <c r="A984" s="206" t="s">
        <v>70</v>
      </c>
      <c r="B984" s="52" t="s">
        <v>1350</v>
      </c>
      <c r="C984" s="55" t="s">
        <v>1105</v>
      </c>
      <c r="D984" s="55" t="s">
        <v>417</v>
      </c>
      <c r="E984" s="55" t="s">
        <v>644</v>
      </c>
      <c r="F984" s="55" t="s">
        <v>71</v>
      </c>
      <c r="G984" s="437">
        <v>12</v>
      </c>
      <c r="H984" s="437">
        <v>12</v>
      </c>
      <c r="J984" s="437">
        <v>3.1</v>
      </c>
      <c r="K984" s="475">
        <f t="shared" si="121"/>
        <v>25.833333333333336</v>
      </c>
      <c r="L984" s="475">
        <f t="shared" si="122"/>
        <v>25.833333333333336</v>
      </c>
    </row>
    <row r="985" spans="1:18" ht="15">
      <c r="A985" s="179" t="s">
        <v>1352</v>
      </c>
      <c r="B985" s="122"/>
      <c r="C985" s="141"/>
      <c r="D985" s="141"/>
      <c r="E985" s="141"/>
      <c r="F985" s="141"/>
      <c r="G985" s="456"/>
      <c r="H985" s="450"/>
      <c r="J985" s="450"/>
      <c r="K985" s="450"/>
      <c r="L985" s="461"/>
      <c r="M985" s="459"/>
      <c r="R985" s="355"/>
    </row>
    <row r="986" spans="1:18" ht="15">
      <c r="A986" s="58" t="s">
        <v>1353</v>
      </c>
      <c r="B986" s="211"/>
      <c r="C986" s="55"/>
      <c r="D986" s="55"/>
      <c r="E986" s="55"/>
      <c r="F986" s="55"/>
      <c r="G986" s="454"/>
      <c r="H986" s="437"/>
      <c r="J986" s="437"/>
      <c r="K986" s="437"/>
      <c r="L986" s="451"/>
      <c r="M986" s="459"/>
      <c r="R986" s="355"/>
    </row>
    <row r="987" spans="1:8" ht="15">
      <c r="A987" s="421"/>
      <c r="B987" s="422"/>
      <c r="C987" s="423"/>
      <c r="D987" s="423"/>
      <c r="E987" s="423"/>
      <c r="F987" s="423"/>
      <c r="G987" s="457"/>
      <c r="H987" s="451"/>
    </row>
  </sheetData>
  <sheetProtection/>
  <mergeCells count="11">
    <mergeCell ref="G12:G13"/>
    <mergeCell ref="H12:H13"/>
    <mergeCell ref="B2:H2"/>
    <mergeCell ref="B3:H3"/>
    <mergeCell ref="B4:H4"/>
    <mergeCell ref="J12:J13"/>
    <mergeCell ref="A9:L9"/>
    <mergeCell ref="A10:L10"/>
    <mergeCell ref="K12:L12"/>
    <mergeCell ref="B12:F12"/>
    <mergeCell ref="A12:A13"/>
  </mergeCells>
  <printOptions/>
  <pageMargins left="0.7480314960629921" right="0.7480314960629921" top="0.984251968503937" bottom="0.984251968503937" header="0.5118110236220472" footer="0.5118110236220472"/>
  <pageSetup firstPageNumber="86" useFirstPageNumber="1" fitToHeight="150" fitToWidth="1" horizontalDpi="600" verticalDpi="600" orientation="landscape" paperSize="9" scale="85"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59"/>
  <sheetViews>
    <sheetView showGridLines="0" zoomScalePageLayoutView="0" workbookViewId="0" topLeftCell="A1">
      <selection activeCell="B5" sqref="B5:E5"/>
    </sheetView>
  </sheetViews>
  <sheetFormatPr defaultColWidth="8.75390625" defaultRowHeight="12.75"/>
  <cols>
    <col min="1" max="1" width="23.75390625" style="1" customWidth="1"/>
    <col min="2" max="2" width="62.50390625" style="1" customWidth="1"/>
    <col min="3" max="3" width="15.75390625" style="4" customWidth="1"/>
    <col min="4" max="5" width="15.75390625" style="1" customWidth="1"/>
    <col min="6" max="16384" width="8.75390625" style="1" customWidth="1"/>
  </cols>
  <sheetData>
    <row r="1" spans="4:5" ht="15">
      <c r="D1" s="328" t="s">
        <v>253</v>
      </c>
      <c r="E1" s="16"/>
    </row>
    <row r="2" spans="4:5" ht="15">
      <c r="D2" s="328" t="s">
        <v>912</v>
      </c>
      <c r="E2" s="16"/>
    </row>
    <row r="3" spans="4:5" ht="15">
      <c r="D3" s="17" t="s">
        <v>1494</v>
      </c>
      <c r="E3" s="16"/>
    </row>
    <row r="4" ht="12.75"/>
    <row r="5" spans="2:23" ht="15.75">
      <c r="B5" s="560" t="s">
        <v>677</v>
      </c>
      <c r="C5" s="560"/>
      <c r="D5" s="560"/>
      <c r="E5" s="560"/>
      <c r="F5" s="2"/>
      <c r="G5" s="2"/>
      <c r="H5" s="2"/>
      <c r="I5" s="2"/>
      <c r="J5" s="2"/>
      <c r="K5" s="2"/>
      <c r="L5" s="2"/>
      <c r="M5" s="2"/>
      <c r="N5" s="2"/>
      <c r="O5" s="2"/>
      <c r="P5" s="2"/>
      <c r="Q5" s="2"/>
      <c r="R5" s="2"/>
      <c r="S5" s="2"/>
      <c r="T5" s="2"/>
      <c r="U5" s="2"/>
      <c r="V5" s="2"/>
      <c r="W5" s="2"/>
    </row>
    <row r="6" spans="2:23" ht="15.75">
      <c r="B6" s="560" t="s">
        <v>1393</v>
      </c>
      <c r="C6" s="560"/>
      <c r="D6" s="560"/>
      <c r="E6" s="560"/>
      <c r="F6" s="2"/>
      <c r="G6" s="2"/>
      <c r="H6" s="2"/>
      <c r="I6" s="2"/>
      <c r="J6" s="2"/>
      <c r="K6" s="2"/>
      <c r="L6" s="2"/>
      <c r="M6" s="2"/>
      <c r="N6" s="2"/>
      <c r="O6" s="2"/>
      <c r="P6" s="2"/>
      <c r="Q6" s="2"/>
      <c r="R6" s="2"/>
      <c r="S6" s="2"/>
      <c r="T6" s="2"/>
      <c r="U6" s="2"/>
      <c r="V6" s="2"/>
      <c r="W6" s="2"/>
    </row>
    <row r="7" spans="2:5" ht="9" customHeight="1" thickBot="1">
      <c r="B7" s="7"/>
      <c r="C7" s="1"/>
      <c r="E7" s="3" t="s">
        <v>1493</v>
      </c>
    </row>
    <row r="8" spans="1:5" ht="36.75" thickBot="1">
      <c r="A8" s="43" t="s">
        <v>678</v>
      </c>
      <c r="B8" s="44" t="s">
        <v>905</v>
      </c>
      <c r="C8" s="12" t="s">
        <v>671</v>
      </c>
      <c r="D8" s="12" t="s">
        <v>1170</v>
      </c>
      <c r="E8" s="45" t="s">
        <v>933</v>
      </c>
    </row>
    <row r="9" spans="1:5" s="36" customFormat="1" ht="15.75" customHeight="1">
      <c r="A9" s="561" t="s">
        <v>1178</v>
      </c>
      <c r="B9" s="562"/>
      <c r="C9" s="161">
        <f>'Приложение 1'!C232-'Приложение 3'!F18</f>
        <v>-247807.7000000002</v>
      </c>
      <c r="D9" s="161">
        <f>'Приложение 1'!D232-'Приложение 3'!G18</f>
        <v>-421943.6000000024</v>
      </c>
      <c r="E9" s="184">
        <f>'Приложение 1'!E232-'Приложение 3'!H18</f>
        <v>50583.09999999963</v>
      </c>
    </row>
    <row r="10" spans="1:5" s="36" customFormat="1" ht="13.5" customHeight="1" hidden="1">
      <c r="A10" s="563" t="s">
        <v>1179</v>
      </c>
      <c r="B10" s="564"/>
      <c r="C10" s="162"/>
      <c r="D10" s="142"/>
      <c r="E10" s="142"/>
    </row>
    <row r="11" spans="1:5" s="36" customFormat="1" ht="24.75" customHeight="1">
      <c r="A11" s="558" t="s">
        <v>1180</v>
      </c>
      <c r="B11" s="559"/>
      <c r="C11" s="351">
        <f>C12+C17+C22+C229</f>
        <v>247807.7</v>
      </c>
      <c r="D11" s="351">
        <f>D12+D17+D22+D29</f>
        <v>421943.5999999996</v>
      </c>
      <c r="E11" s="351">
        <f>E12+E17+E22+E29</f>
        <v>-50583.09999999963</v>
      </c>
    </row>
    <row r="12" spans="1:5" s="36" customFormat="1" ht="18" customHeight="1">
      <c r="A12" s="163" t="s">
        <v>1163</v>
      </c>
      <c r="B12" s="164" t="s">
        <v>563</v>
      </c>
      <c r="C12" s="165">
        <f>C13-C15</f>
        <v>247807.7</v>
      </c>
      <c r="D12" s="165">
        <f>D13-D15</f>
        <v>0</v>
      </c>
      <c r="E12" s="165">
        <f>E13-E15</f>
        <v>0</v>
      </c>
    </row>
    <row r="13" spans="1:5" s="36" customFormat="1" ht="25.5">
      <c r="A13" s="166" t="s">
        <v>564</v>
      </c>
      <c r="B13" s="167" t="s">
        <v>565</v>
      </c>
      <c r="C13" s="121">
        <f>C14</f>
        <v>300000</v>
      </c>
      <c r="D13" s="121">
        <f>D14</f>
        <v>0</v>
      </c>
      <c r="E13" s="121">
        <f>E14</f>
        <v>0</v>
      </c>
    </row>
    <row r="14" spans="1:5" s="36" customFormat="1" ht="33.75" customHeight="1">
      <c r="A14" s="166" t="s">
        <v>399</v>
      </c>
      <c r="B14" s="168" t="s">
        <v>1008</v>
      </c>
      <c r="C14" s="120">
        <v>300000</v>
      </c>
      <c r="D14" s="120">
        <v>0</v>
      </c>
      <c r="E14" s="120">
        <v>0</v>
      </c>
    </row>
    <row r="15" spans="1:5" s="36" customFormat="1" ht="29.25" customHeight="1">
      <c r="A15" s="166" t="s">
        <v>1009</v>
      </c>
      <c r="B15" s="168" t="s">
        <v>1010</v>
      </c>
      <c r="C15" s="165">
        <f>C16</f>
        <v>52192.3</v>
      </c>
      <c r="D15" s="165">
        <f>D16</f>
        <v>0</v>
      </c>
      <c r="E15" s="165">
        <f>E16</f>
        <v>0</v>
      </c>
    </row>
    <row r="16" spans="1:5" s="36" customFormat="1" ht="27.75" customHeight="1">
      <c r="A16" s="166" t="s">
        <v>1011</v>
      </c>
      <c r="B16" s="169" t="s">
        <v>1012</v>
      </c>
      <c r="C16" s="170">
        <v>52192.3</v>
      </c>
      <c r="D16" s="170">
        <v>0</v>
      </c>
      <c r="E16" s="170">
        <v>0</v>
      </c>
    </row>
    <row r="17" spans="1:5" s="36" customFormat="1" ht="27.75" customHeight="1" hidden="1">
      <c r="A17" s="171" t="s">
        <v>1013</v>
      </c>
      <c r="B17" s="172" t="s">
        <v>1014</v>
      </c>
      <c r="C17" s="165">
        <f>SUM(C18-C20)</f>
        <v>0</v>
      </c>
      <c r="D17" s="165">
        <f>SUM(D18-D20)</f>
        <v>0</v>
      </c>
      <c r="E17" s="165">
        <f>SUM(E18-E20)</f>
        <v>0</v>
      </c>
    </row>
    <row r="18" spans="1:5" s="36" customFormat="1" ht="13.5" customHeight="1" hidden="1">
      <c r="A18" s="166" t="s">
        <v>1015</v>
      </c>
      <c r="B18" s="173" t="s">
        <v>884</v>
      </c>
      <c r="C18" s="165">
        <f>C19</f>
        <v>0</v>
      </c>
      <c r="D18" s="165">
        <v>0</v>
      </c>
      <c r="E18" s="165">
        <v>0</v>
      </c>
    </row>
    <row r="19" spans="1:5" s="36" customFormat="1" ht="13.5" customHeight="1" hidden="1">
      <c r="A19" s="166" t="s">
        <v>885</v>
      </c>
      <c r="B19" s="174" t="s">
        <v>886</v>
      </c>
      <c r="C19" s="170">
        <v>0</v>
      </c>
      <c r="D19" s="170">
        <v>0</v>
      </c>
      <c r="E19" s="170">
        <v>0</v>
      </c>
    </row>
    <row r="20" spans="1:5" s="36" customFormat="1" ht="13.5" customHeight="1" hidden="1">
      <c r="A20" s="166" t="s">
        <v>887</v>
      </c>
      <c r="B20" s="175" t="s">
        <v>889</v>
      </c>
      <c r="C20" s="165">
        <f>C21</f>
        <v>0</v>
      </c>
      <c r="D20" s="165">
        <v>0</v>
      </c>
      <c r="E20" s="165">
        <v>0</v>
      </c>
    </row>
    <row r="21" spans="1:5" s="36" customFormat="1" ht="13.5" customHeight="1" hidden="1">
      <c r="A21" s="166" t="s">
        <v>890</v>
      </c>
      <c r="B21" s="168" t="s">
        <v>891</v>
      </c>
      <c r="C21" s="170">
        <v>0</v>
      </c>
      <c r="D21" s="170">
        <v>0</v>
      </c>
      <c r="E21" s="170">
        <v>0</v>
      </c>
    </row>
    <row r="22" spans="1:5" s="36" customFormat="1" ht="24" customHeight="1">
      <c r="A22" s="171" t="s">
        <v>892</v>
      </c>
      <c r="B22" s="164" t="s">
        <v>893</v>
      </c>
      <c r="C22" s="176">
        <f>C26-C23</f>
        <v>0</v>
      </c>
      <c r="D22" s="176">
        <f>D26-D23</f>
        <v>421529.5999999996</v>
      </c>
      <c r="E22" s="176">
        <f>E26-E23</f>
        <v>-50997.09999999963</v>
      </c>
    </row>
    <row r="23" spans="1:6" ht="16.5" customHeight="1">
      <c r="A23" s="177" t="s">
        <v>894</v>
      </c>
      <c r="B23" s="173" t="s">
        <v>895</v>
      </c>
      <c r="C23" s="176">
        <f aca="true" t="shared" si="0" ref="C23:E24">C24</f>
        <v>4397620.3</v>
      </c>
      <c r="D23" s="176">
        <f t="shared" si="0"/>
        <v>4771933</v>
      </c>
      <c r="E23" s="176">
        <f t="shared" si="0"/>
        <v>4962918.5</v>
      </c>
      <c r="F23" s="36"/>
    </row>
    <row r="24" spans="1:6" ht="26.25">
      <c r="A24" s="177" t="s">
        <v>896</v>
      </c>
      <c r="B24" s="174" t="s">
        <v>897</v>
      </c>
      <c r="C24" s="176">
        <f t="shared" si="0"/>
        <v>4397620.3</v>
      </c>
      <c r="D24" s="176">
        <f t="shared" si="0"/>
        <v>4771933</v>
      </c>
      <c r="E24" s="176">
        <f t="shared" si="0"/>
        <v>4962918.5</v>
      </c>
      <c r="F24" s="36"/>
    </row>
    <row r="25" spans="1:6" ht="26.25">
      <c r="A25" s="177" t="s">
        <v>898</v>
      </c>
      <c r="B25" s="174" t="s">
        <v>899</v>
      </c>
      <c r="C25" s="170">
        <v>4397620.3</v>
      </c>
      <c r="D25" s="170">
        <f>'Приложение 1'!D232+'Приложение 5'!D29</f>
        <v>4771933</v>
      </c>
      <c r="E25" s="170">
        <f>'Приложение 1'!E232+E29</f>
        <v>4962918.5</v>
      </c>
      <c r="F25" s="36"/>
    </row>
    <row r="26" spans="1:6" ht="26.25">
      <c r="A26" s="178" t="s">
        <v>900</v>
      </c>
      <c r="B26" s="173" t="s">
        <v>901</v>
      </c>
      <c r="C26" s="176">
        <f aca="true" t="shared" si="1" ref="C26:E27">C27</f>
        <v>4397620.3</v>
      </c>
      <c r="D26" s="176">
        <f t="shared" si="1"/>
        <v>5193462.6</v>
      </c>
      <c r="E26" s="176">
        <f t="shared" si="1"/>
        <v>4911921.4</v>
      </c>
      <c r="F26" s="36"/>
    </row>
    <row r="27" spans="1:6" ht="26.25">
      <c r="A27" s="178" t="s">
        <v>902</v>
      </c>
      <c r="B27" s="174" t="s">
        <v>901</v>
      </c>
      <c r="C27" s="176">
        <f t="shared" si="1"/>
        <v>4397620.3</v>
      </c>
      <c r="D27" s="176">
        <f t="shared" si="1"/>
        <v>5193462.6</v>
      </c>
      <c r="E27" s="176">
        <f t="shared" si="1"/>
        <v>4911921.4</v>
      </c>
      <c r="F27" s="36"/>
    </row>
    <row r="28" spans="1:6" ht="26.25">
      <c r="A28" s="178" t="s">
        <v>903</v>
      </c>
      <c r="B28" s="174" t="s">
        <v>904</v>
      </c>
      <c r="C28" s="170">
        <v>4397620.3</v>
      </c>
      <c r="D28" s="170">
        <v>5193462.6</v>
      </c>
      <c r="E28" s="170">
        <f>'Приложение 3'!H18</f>
        <v>4911921.4</v>
      </c>
      <c r="F28" s="36"/>
    </row>
    <row r="29" spans="1:6" ht="26.25">
      <c r="A29" s="499" t="s">
        <v>725</v>
      </c>
      <c r="B29" s="500" t="s">
        <v>726</v>
      </c>
      <c r="C29" s="508">
        <v>0</v>
      </c>
      <c r="D29" s="501">
        <f>D32</f>
        <v>414</v>
      </c>
      <c r="E29" s="501">
        <f>E32</f>
        <v>414</v>
      </c>
      <c r="F29" s="36"/>
    </row>
    <row r="30" spans="1:6" ht="26.25">
      <c r="A30" s="502" t="s">
        <v>727</v>
      </c>
      <c r="B30" s="503" t="s">
        <v>728</v>
      </c>
      <c r="C30" s="508">
        <v>0</v>
      </c>
      <c r="D30" s="501"/>
      <c r="E30" s="501"/>
      <c r="F30" s="36"/>
    </row>
    <row r="31" spans="1:6" ht="28.5" customHeight="1">
      <c r="A31" s="502" t="s">
        <v>729</v>
      </c>
      <c r="B31" s="503" t="s">
        <v>730</v>
      </c>
      <c r="C31" s="508">
        <v>0</v>
      </c>
      <c r="D31" s="501"/>
      <c r="E31" s="501"/>
      <c r="F31" s="36"/>
    </row>
    <row r="32" spans="1:6" ht="26.25">
      <c r="A32" s="504" t="s">
        <v>731</v>
      </c>
      <c r="B32" s="172" t="s">
        <v>732</v>
      </c>
      <c r="C32" s="508">
        <v>0</v>
      </c>
      <c r="D32" s="165">
        <f>D33</f>
        <v>414</v>
      </c>
      <c r="E32" s="165">
        <f>E33</f>
        <v>414</v>
      </c>
      <c r="F32" s="36"/>
    </row>
    <row r="33" spans="1:6" ht="26.25">
      <c r="A33" s="178" t="s">
        <v>733</v>
      </c>
      <c r="B33" s="173" t="s">
        <v>734</v>
      </c>
      <c r="C33" s="508">
        <v>0</v>
      </c>
      <c r="D33" s="165">
        <f>D34</f>
        <v>414</v>
      </c>
      <c r="E33" s="165">
        <f>E34</f>
        <v>414</v>
      </c>
      <c r="F33" s="36"/>
    </row>
    <row r="34" spans="1:6" ht="26.25">
      <c r="A34" s="178" t="s">
        <v>735</v>
      </c>
      <c r="B34" s="505" t="s">
        <v>736</v>
      </c>
      <c r="C34" s="508">
        <v>0</v>
      </c>
      <c r="D34" s="170">
        <v>414</v>
      </c>
      <c r="E34" s="170">
        <v>414</v>
      </c>
      <c r="F34" s="36"/>
    </row>
    <row r="35" spans="1:6" ht="12.75" hidden="1">
      <c r="A35" s="84"/>
      <c r="B35" s="89"/>
      <c r="C35" s="143"/>
      <c r="D35" s="143"/>
      <c r="E35" s="143"/>
      <c r="F35" s="36"/>
    </row>
    <row r="36" spans="1:2" ht="12.75" hidden="1">
      <c r="A36" s="7"/>
      <c r="B36" s="85"/>
    </row>
    <row r="37" spans="1:6" ht="12.75" hidden="1">
      <c r="A37" s="86"/>
      <c r="B37" s="87"/>
      <c r="C37" s="48"/>
      <c r="D37" s="36"/>
      <c r="E37" s="36"/>
      <c r="F37" s="36"/>
    </row>
    <row r="38" spans="1:6" ht="12.75" hidden="1">
      <c r="A38" s="86"/>
      <c r="B38" s="88"/>
      <c r="C38" s="506"/>
      <c r="D38" s="36"/>
      <c r="E38" s="36"/>
      <c r="F38" s="36"/>
    </row>
    <row r="39" spans="1:6" ht="12.75" hidden="1">
      <c r="A39" s="36"/>
      <c r="B39" s="47"/>
      <c r="C39" s="507"/>
      <c r="D39" s="36"/>
      <c r="E39" s="36"/>
      <c r="F39" s="36"/>
    </row>
    <row r="40" spans="1:6" ht="12.75">
      <c r="A40" s="36"/>
      <c r="B40" s="47"/>
      <c r="C40" s="48"/>
      <c r="D40" s="36"/>
      <c r="E40" s="36"/>
      <c r="F40" s="36"/>
    </row>
    <row r="41" spans="1:6" ht="12.75">
      <c r="A41" s="36"/>
      <c r="B41" s="47"/>
      <c r="C41" s="48"/>
      <c r="D41" s="36"/>
      <c r="E41" s="36"/>
      <c r="F41" s="36"/>
    </row>
    <row r="42" spans="1:6" ht="12.75">
      <c r="A42" s="36"/>
      <c r="B42" s="47"/>
      <c r="C42" s="48"/>
      <c r="D42" s="36"/>
      <c r="E42" s="36"/>
      <c r="F42" s="36"/>
    </row>
    <row r="43" spans="1:6" ht="12.75">
      <c r="A43" s="36"/>
      <c r="B43" s="47"/>
      <c r="C43" s="48"/>
      <c r="D43" s="36"/>
      <c r="E43" s="36"/>
      <c r="F43" s="36"/>
    </row>
    <row r="44" spans="1:6" ht="12.75">
      <c r="A44" s="36"/>
      <c r="B44" s="47"/>
      <c r="C44" s="48"/>
      <c r="D44" s="36"/>
      <c r="E44" s="36"/>
      <c r="F44" s="36"/>
    </row>
    <row r="45" spans="1:6" ht="12.75">
      <c r="A45" s="36"/>
      <c r="B45" s="47"/>
      <c r="C45" s="48"/>
      <c r="D45" s="36"/>
      <c r="E45" s="36"/>
      <c r="F45" s="36"/>
    </row>
    <row r="46" spans="1:6" ht="12.75">
      <c r="A46" s="36"/>
      <c r="B46" s="47"/>
      <c r="C46" s="48"/>
      <c r="D46" s="36"/>
      <c r="E46" s="36"/>
      <c r="F46" s="36"/>
    </row>
    <row r="47" spans="1:6" ht="12.75">
      <c r="A47" s="36"/>
      <c r="B47" s="47"/>
      <c r="C47" s="48"/>
      <c r="D47" s="36"/>
      <c r="E47" s="36"/>
      <c r="F47" s="36"/>
    </row>
    <row r="48" spans="1:6" ht="12.75">
      <c r="A48" s="36"/>
      <c r="B48" s="47"/>
      <c r="C48" s="48"/>
      <c r="D48" s="36"/>
      <c r="E48" s="36"/>
      <c r="F48" s="36"/>
    </row>
    <row r="49" spans="1:6" ht="12.75">
      <c r="A49" s="36"/>
      <c r="B49" s="47"/>
      <c r="C49" s="48"/>
      <c r="D49" s="36"/>
      <c r="E49" s="36"/>
      <c r="F49" s="36"/>
    </row>
    <row r="50" spans="1:6" ht="12.75">
      <c r="A50" s="36"/>
      <c r="B50" s="47"/>
      <c r="C50" s="48"/>
      <c r="D50" s="36"/>
      <c r="E50" s="36"/>
      <c r="F50" s="36"/>
    </row>
    <row r="51" spans="2:3" s="36" customFormat="1" ht="12.75">
      <c r="B51" s="47"/>
      <c r="C51" s="48"/>
    </row>
    <row r="52" spans="2:3" ht="12.75">
      <c r="B52" s="5"/>
      <c r="C52" s="6"/>
    </row>
    <row r="53" spans="2:3" ht="12.75">
      <c r="B53" s="5"/>
      <c r="C53" s="6"/>
    </row>
    <row r="54" spans="2:3" ht="12.75">
      <c r="B54" s="5"/>
      <c r="C54" s="6"/>
    </row>
    <row r="55" spans="2:3" ht="12.75">
      <c r="B55" s="5"/>
      <c r="C55" s="6"/>
    </row>
    <row r="56" spans="2:3" ht="12.75">
      <c r="B56" s="5"/>
      <c r="C56" s="6"/>
    </row>
    <row r="57" spans="2:3" ht="12.75">
      <c r="B57" s="5"/>
      <c r="C57" s="6"/>
    </row>
    <row r="58" spans="2:3" ht="12.75">
      <c r="B58" s="5"/>
      <c r="C58" s="6"/>
    </row>
    <row r="59" spans="2:3" ht="12.75">
      <c r="B59" s="5"/>
      <c r="C59" s="6"/>
    </row>
  </sheetData>
  <sheetProtection/>
  <mergeCells count="5">
    <mergeCell ref="A11:B11"/>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137" useFirstPageNumber="1" fitToHeight="1" fitToWidth="1" horizontalDpi="600" verticalDpi="600" orientation="landscape" paperSize="9" scale="86" r:id="rId3"/>
  <headerFooter alignWithMargins="0">
    <oddFooter>&amp;R&amp;P</oddFooter>
  </headerFooter>
  <legacyDrawing r:id="rId2"/>
</worksheet>
</file>

<file path=xl/worksheets/sheet6.xml><?xml version="1.0" encoding="utf-8"?>
<worksheet xmlns="http://schemas.openxmlformats.org/spreadsheetml/2006/main" xmlns:r="http://schemas.openxmlformats.org/officeDocument/2006/relationships">
  <dimension ref="A1:W42"/>
  <sheetViews>
    <sheetView zoomScalePageLayoutView="0" workbookViewId="0" topLeftCell="A1">
      <selection activeCell="A5" sqref="A5:F5"/>
    </sheetView>
  </sheetViews>
  <sheetFormatPr defaultColWidth="8.75390625" defaultRowHeight="12.75"/>
  <cols>
    <col min="1" max="1" width="42.375" style="1" customWidth="1"/>
    <col min="2" max="2" width="12.75390625" style="1" customWidth="1"/>
    <col min="3" max="3" width="27.125" style="1" customWidth="1"/>
    <col min="4" max="4" width="15.75390625" style="4" hidden="1" customWidth="1"/>
    <col min="5" max="5" width="15.75390625" style="1" hidden="1" customWidth="1"/>
    <col min="6" max="6" width="13.75390625" style="1" customWidth="1"/>
    <col min="7" max="7" width="8.75390625" style="1" customWidth="1"/>
    <col min="8" max="8" width="21.50390625" style="1" customWidth="1"/>
    <col min="9" max="9" width="11.25390625" style="1" customWidth="1"/>
    <col min="10" max="16384" width="8.75390625" style="1" customWidth="1"/>
  </cols>
  <sheetData>
    <row r="1" spans="6:9" ht="15">
      <c r="F1" s="565" t="s">
        <v>252</v>
      </c>
      <c r="G1" s="565"/>
      <c r="H1" s="565"/>
      <c r="I1" s="42"/>
    </row>
    <row r="2" spans="6:9" ht="15">
      <c r="F2" s="565" t="s">
        <v>912</v>
      </c>
      <c r="G2" s="565"/>
      <c r="H2" s="565"/>
      <c r="I2" s="42"/>
    </row>
    <row r="3" spans="6:9" ht="15">
      <c r="F3" s="566" t="s">
        <v>1498</v>
      </c>
      <c r="G3" s="566"/>
      <c r="H3" s="566"/>
      <c r="I3" s="42"/>
    </row>
    <row r="4" spans="1:9" ht="15">
      <c r="A4" s="560" t="s">
        <v>1207</v>
      </c>
      <c r="B4" s="560"/>
      <c r="C4" s="560"/>
      <c r="D4" s="560"/>
      <c r="E4" s="560"/>
      <c r="F4" s="560"/>
      <c r="I4" s="42"/>
    </row>
    <row r="5" spans="1:6" ht="12.75" customHeight="1">
      <c r="A5" s="560" t="s">
        <v>1393</v>
      </c>
      <c r="B5" s="560"/>
      <c r="C5" s="560"/>
      <c r="D5" s="560"/>
      <c r="E5" s="560"/>
      <c r="F5" s="560"/>
    </row>
    <row r="6" spans="1:23" ht="15">
      <c r="A6" s="560" t="s">
        <v>1208</v>
      </c>
      <c r="B6" s="560"/>
      <c r="C6" s="560"/>
      <c r="D6" s="560"/>
      <c r="E6" s="560"/>
      <c r="F6" s="560"/>
      <c r="G6" s="2"/>
      <c r="H6" s="2"/>
      <c r="I6" s="2"/>
      <c r="J6" s="2"/>
      <c r="K6" s="2"/>
      <c r="L6" s="2"/>
      <c r="M6" s="2"/>
      <c r="N6" s="2"/>
      <c r="O6" s="2"/>
      <c r="P6" s="2"/>
      <c r="Q6" s="2"/>
      <c r="R6" s="2"/>
      <c r="S6" s="2"/>
      <c r="T6" s="2"/>
      <c r="U6" s="2"/>
      <c r="V6" s="2"/>
      <c r="W6" s="2"/>
    </row>
    <row r="7" spans="1:23" ht="15">
      <c r="A7" s="560" t="s">
        <v>1209</v>
      </c>
      <c r="B7" s="560"/>
      <c r="C7" s="560"/>
      <c r="D7" s="560"/>
      <c r="E7" s="560"/>
      <c r="F7" s="560"/>
      <c r="G7" s="2"/>
      <c r="H7" s="2"/>
      <c r="I7" s="2"/>
      <c r="J7" s="2"/>
      <c r="K7" s="2"/>
      <c r="L7" s="2"/>
      <c r="M7" s="2"/>
      <c r="N7" s="2"/>
      <c r="O7" s="2"/>
      <c r="P7" s="2"/>
      <c r="Q7" s="2"/>
      <c r="R7" s="2"/>
      <c r="S7" s="2"/>
      <c r="T7" s="2"/>
      <c r="U7" s="2"/>
      <c r="V7" s="2"/>
      <c r="W7" s="2"/>
    </row>
    <row r="8" spans="3:6" ht="30.75" customHeight="1">
      <c r="C8" s="7"/>
      <c r="D8" s="1"/>
      <c r="F8" s="3" t="s">
        <v>1493</v>
      </c>
    </row>
    <row r="9" spans="1:6" ht="17.25" customHeight="1">
      <c r="A9" s="335"/>
      <c r="B9" s="567" t="s">
        <v>546</v>
      </c>
      <c r="C9" s="567"/>
      <c r="D9" s="335"/>
      <c r="E9" s="335"/>
      <c r="F9" s="336"/>
    </row>
    <row r="10" spans="1:6" ht="57" customHeight="1">
      <c r="A10" s="348" t="s">
        <v>919</v>
      </c>
      <c r="B10" s="348" t="s">
        <v>547</v>
      </c>
      <c r="C10" s="348" t="s">
        <v>548</v>
      </c>
      <c r="D10" s="349" t="s">
        <v>671</v>
      </c>
      <c r="E10" s="349" t="s">
        <v>1170</v>
      </c>
      <c r="F10" s="350" t="s">
        <v>933</v>
      </c>
    </row>
    <row r="11" spans="1:6" s="36" customFormat="1" ht="26.25">
      <c r="A11" s="317" t="s">
        <v>893</v>
      </c>
      <c r="B11" s="330" t="s">
        <v>920</v>
      </c>
      <c r="C11" s="333" t="s">
        <v>549</v>
      </c>
      <c r="D11" s="176" t="e">
        <f>D13-D12</f>
        <v>#REF!</v>
      </c>
      <c r="E11" s="176" t="e">
        <f>E13-E12</f>
        <v>#REF!</v>
      </c>
      <c r="F11" s="176">
        <f>F13-F12</f>
        <v>-50997.09999999963</v>
      </c>
    </row>
    <row r="12" spans="1:6" s="36" customFormat="1" ht="16.5" customHeight="1">
      <c r="A12" s="318" t="s">
        <v>895</v>
      </c>
      <c r="B12" s="331" t="s">
        <v>920</v>
      </c>
      <c r="C12" s="334" t="s">
        <v>550</v>
      </c>
      <c r="D12" s="176" t="e">
        <f>#REF!</f>
        <v>#REF!</v>
      </c>
      <c r="E12" s="176" t="e">
        <f>#REF!</f>
        <v>#REF!</v>
      </c>
      <c r="F12" s="176">
        <f>'Приложение 5'!E23</f>
        <v>4962918.5</v>
      </c>
    </row>
    <row r="13" spans="1:6" s="36" customFormat="1" ht="18.75" customHeight="1">
      <c r="A13" s="319" t="s">
        <v>901</v>
      </c>
      <c r="B13" s="332" t="s">
        <v>920</v>
      </c>
      <c r="C13" s="334" t="s">
        <v>551</v>
      </c>
      <c r="D13" s="176" t="e">
        <f>#REF!</f>
        <v>#REF!</v>
      </c>
      <c r="E13" s="176" t="e">
        <f>#REF!</f>
        <v>#REF!</v>
      </c>
      <c r="F13" s="176">
        <f>'Приложение 5'!E26</f>
        <v>4911921.4</v>
      </c>
    </row>
    <row r="14" spans="1:6" ht="28.5" customHeight="1">
      <c r="A14" s="172" t="s">
        <v>732</v>
      </c>
      <c r="B14" s="46">
        <v>120</v>
      </c>
      <c r="C14" s="504" t="s">
        <v>731</v>
      </c>
      <c r="D14" s="143"/>
      <c r="E14" s="143"/>
      <c r="F14" s="143">
        <f>F15</f>
        <v>414</v>
      </c>
    </row>
    <row r="15" spans="1:6" ht="52.5">
      <c r="A15" s="173" t="s">
        <v>734</v>
      </c>
      <c r="B15" s="46">
        <v>120</v>
      </c>
      <c r="C15" s="178" t="s">
        <v>733</v>
      </c>
      <c r="D15" s="143"/>
      <c r="E15" s="143"/>
      <c r="F15" s="143">
        <f>F16</f>
        <v>414</v>
      </c>
    </row>
    <row r="16" spans="1:6" ht="39">
      <c r="A16" s="505" t="s">
        <v>736</v>
      </c>
      <c r="B16" s="46">
        <v>120</v>
      </c>
      <c r="C16" s="178" t="s">
        <v>735</v>
      </c>
      <c r="D16" s="144"/>
      <c r="E16" s="144"/>
      <c r="F16" s="144">
        <v>414</v>
      </c>
    </row>
    <row r="17" spans="1:6" ht="12" customHeight="1">
      <c r="A17" s="46"/>
      <c r="B17" s="46"/>
      <c r="C17" s="83"/>
      <c r="D17" s="143"/>
      <c r="E17" s="143"/>
      <c r="F17" s="143"/>
    </row>
    <row r="18" spans="1:6" ht="12" customHeight="1">
      <c r="A18" s="84"/>
      <c r="B18" s="84"/>
      <c r="C18" s="89"/>
      <c r="D18" s="143"/>
      <c r="E18" s="143"/>
      <c r="F18" s="143"/>
    </row>
    <row r="19" spans="1:3" ht="12.75">
      <c r="A19" s="7"/>
      <c r="B19" s="7"/>
      <c r="C19" s="85"/>
    </row>
    <row r="20" spans="1:6" ht="12.75">
      <c r="A20" s="86"/>
      <c r="B20" s="86"/>
      <c r="C20" s="87"/>
      <c r="D20" s="48"/>
      <c r="E20" s="36"/>
      <c r="F20" s="36"/>
    </row>
    <row r="21" spans="1:6" ht="12.75">
      <c r="A21" s="86"/>
      <c r="B21" s="86"/>
      <c r="C21" s="88"/>
      <c r="D21" s="48"/>
      <c r="E21" s="36"/>
      <c r="F21" s="36"/>
    </row>
    <row r="22" spans="1:6" ht="12.75">
      <c r="A22" s="36"/>
      <c r="B22" s="36"/>
      <c r="C22" s="47"/>
      <c r="D22" s="48"/>
      <c r="E22" s="36"/>
      <c r="F22" s="36"/>
    </row>
    <row r="23" spans="1:6" ht="12.75">
      <c r="A23" s="36"/>
      <c r="B23" s="36"/>
      <c r="C23" s="47"/>
      <c r="D23" s="48"/>
      <c r="E23" s="36"/>
      <c r="F23" s="36"/>
    </row>
    <row r="24" spans="1:6" ht="12.75">
      <c r="A24" s="36"/>
      <c r="B24" s="36"/>
      <c r="C24" s="47"/>
      <c r="D24" s="48"/>
      <c r="E24" s="36"/>
      <c r="F24" s="36"/>
    </row>
    <row r="25" spans="1:6" ht="12.75">
      <c r="A25" s="36"/>
      <c r="B25" s="36"/>
      <c r="C25" s="47"/>
      <c r="D25" s="48"/>
      <c r="E25" s="36"/>
      <c r="F25" s="36"/>
    </row>
    <row r="26" spans="1:6" ht="12.75">
      <c r="A26" s="36"/>
      <c r="B26" s="36"/>
      <c r="C26" s="47"/>
      <c r="D26" s="48"/>
      <c r="E26" s="36"/>
      <c r="F26" s="36"/>
    </row>
    <row r="27" spans="1:6" ht="12.75">
      <c r="A27" s="36"/>
      <c r="B27" s="36"/>
      <c r="C27" s="47"/>
      <c r="D27" s="48"/>
      <c r="E27" s="36"/>
      <c r="F27" s="36"/>
    </row>
    <row r="28" spans="1:6" ht="12.75">
      <c r="A28" s="36"/>
      <c r="B28" s="36"/>
      <c r="C28" s="47"/>
      <c r="D28" s="48"/>
      <c r="E28" s="36"/>
      <c r="F28" s="36"/>
    </row>
    <row r="29" spans="1:6" ht="12.75">
      <c r="A29" s="36"/>
      <c r="B29" s="36"/>
      <c r="C29" s="47"/>
      <c r="D29" s="48"/>
      <c r="E29" s="36"/>
      <c r="F29" s="36"/>
    </row>
    <row r="30" spans="1:6" ht="12.75">
      <c r="A30" s="36"/>
      <c r="B30" s="36"/>
      <c r="C30" s="47"/>
      <c r="D30" s="48"/>
      <c r="E30" s="36"/>
      <c r="F30" s="36"/>
    </row>
    <row r="31" spans="1:6" ht="12.75">
      <c r="A31" s="36"/>
      <c r="B31" s="36"/>
      <c r="C31" s="47"/>
      <c r="D31" s="48"/>
      <c r="E31" s="36"/>
      <c r="F31" s="36"/>
    </row>
    <row r="32" spans="1:6" ht="12.75">
      <c r="A32" s="36"/>
      <c r="B32" s="36"/>
      <c r="C32" s="47"/>
      <c r="D32" s="48"/>
      <c r="E32" s="36"/>
      <c r="F32" s="36"/>
    </row>
    <row r="33" spans="1:6" ht="12.75">
      <c r="A33" s="36"/>
      <c r="B33" s="36"/>
      <c r="C33" s="47"/>
      <c r="D33" s="48"/>
      <c r="E33" s="36"/>
      <c r="F33" s="36"/>
    </row>
    <row r="34" spans="3:4" s="36" customFormat="1" ht="12.75">
      <c r="C34" s="47"/>
      <c r="D34" s="48"/>
    </row>
    <row r="35" spans="3:4" ht="12.75">
      <c r="C35" s="5"/>
      <c r="D35" s="6"/>
    </row>
    <row r="36" spans="3:4" ht="12.75">
      <c r="C36" s="5"/>
      <c r="D36" s="6"/>
    </row>
    <row r="37" spans="3:4" ht="12.75">
      <c r="C37" s="5"/>
      <c r="D37" s="6"/>
    </row>
    <row r="38" spans="3:4" ht="12.75">
      <c r="C38" s="5"/>
      <c r="D38" s="6"/>
    </row>
    <row r="39" spans="3:4" ht="12.75">
      <c r="C39" s="5"/>
      <c r="D39" s="6"/>
    </row>
    <row r="40" spans="3:4" ht="12.75">
      <c r="C40" s="5"/>
      <c r="D40" s="6"/>
    </row>
    <row r="41" spans="3:4" ht="12.75">
      <c r="C41" s="5"/>
      <c r="D41" s="6"/>
    </row>
    <row r="42" spans="3:4" ht="12.75">
      <c r="C42" s="5"/>
      <c r="D42" s="6"/>
    </row>
  </sheetData>
  <sheetProtection/>
  <mergeCells count="8">
    <mergeCell ref="F1:H1"/>
    <mergeCell ref="F2:H2"/>
    <mergeCell ref="F3:H3"/>
    <mergeCell ref="B9:C9"/>
    <mergeCell ref="A4:F4"/>
    <mergeCell ref="A5:F5"/>
    <mergeCell ref="A6:F6"/>
    <mergeCell ref="A7:F7"/>
  </mergeCells>
  <printOptions/>
  <pageMargins left="0.75" right="0.75" top="1" bottom="1" header="0.5" footer="0.5"/>
  <pageSetup firstPageNumber="138" useFirstPageNumber="1"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F19"/>
  <sheetViews>
    <sheetView showGridLines="0" showZeros="0" zoomScalePageLayoutView="0" workbookViewId="0" topLeftCell="A1">
      <selection activeCell="D3" sqref="D3"/>
    </sheetView>
  </sheetViews>
  <sheetFormatPr defaultColWidth="8.75390625" defaultRowHeight="12.75"/>
  <cols>
    <col min="1" max="1" width="6.75390625" style="15" customWidth="1"/>
    <col min="2" max="2" width="63.25390625" style="15" customWidth="1"/>
    <col min="3" max="3" width="25.25390625" style="15" customWidth="1"/>
    <col min="4" max="4" width="15.25390625" style="15" customWidth="1"/>
    <col min="5" max="5" width="14.25390625" style="15" customWidth="1"/>
    <col min="6" max="16384" width="8.75390625" style="15" customWidth="1"/>
  </cols>
  <sheetData>
    <row r="1" spans="1:4" ht="15">
      <c r="A1" s="16"/>
      <c r="B1" s="16"/>
      <c r="C1" s="17"/>
      <c r="D1" s="8" t="s">
        <v>230</v>
      </c>
    </row>
    <row r="2" spans="1:4" ht="15">
      <c r="A2" s="16"/>
      <c r="B2" s="16"/>
      <c r="C2" s="18"/>
      <c r="D2" s="19" t="s">
        <v>912</v>
      </c>
    </row>
    <row r="3" spans="1:4" ht="15">
      <c r="A3" s="16"/>
      <c r="B3" s="16"/>
      <c r="C3" s="16"/>
      <c r="D3" s="8" t="s">
        <v>1498</v>
      </c>
    </row>
    <row r="4" spans="1:4" ht="15">
      <c r="A4" s="16"/>
      <c r="B4" s="16"/>
      <c r="C4" s="16"/>
      <c r="D4" s="16"/>
    </row>
    <row r="5" spans="1:5" ht="12.75">
      <c r="A5" s="569" t="s">
        <v>917</v>
      </c>
      <c r="B5" s="569"/>
      <c r="C5" s="569"/>
      <c r="D5" s="569"/>
      <c r="E5" s="569"/>
    </row>
    <row r="6" spans="1:5" ht="12.75">
      <c r="A6" s="570" t="s">
        <v>131</v>
      </c>
      <c r="B6" s="570"/>
      <c r="C6" s="570"/>
      <c r="D6" s="570"/>
      <c r="E6" s="570"/>
    </row>
    <row r="7" spans="1:4" ht="15">
      <c r="A7" s="16"/>
      <c r="B7" s="16"/>
      <c r="C7" s="16"/>
      <c r="D7" s="16"/>
    </row>
    <row r="8" spans="1:5" ht="19.5" customHeight="1">
      <c r="A8" s="571" t="s">
        <v>914</v>
      </c>
      <c r="B8" s="571"/>
      <c r="C8" s="571"/>
      <c r="D8" s="571"/>
      <c r="E8" s="571"/>
    </row>
    <row r="9" spans="1:5" ht="39">
      <c r="A9" s="20" t="s">
        <v>913</v>
      </c>
      <c r="B9" s="20" t="s">
        <v>915</v>
      </c>
      <c r="C9" s="21" t="s">
        <v>1394</v>
      </c>
      <c r="D9" s="20" t="s">
        <v>933</v>
      </c>
      <c r="E9" s="21" t="s">
        <v>911</v>
      </c>
    </row>
    <row r="10" spans="1:5" ht="31.5" customHeight="1">
      <c r="A10" s="20" t="s">
        <v>916</v>
      </c>
      <c r="B10" s="22" t="s">
        <v>940</v>
      </c>
      <c r="C10" s="81" t="s">
        <v>1361</v>
      </c>
      <c r="D10" s="81" t="s">
        <v>1361</v>
      </c>
      <c r="E10" s="23" t="s">
        <v>839</v>
      </c>
    </row>
    <row r="11" spans="1:5" ht="31.5" customHeight="1">
      <c r="A11" s="20" t="s">
        <v>918</v>
      </c>
      <c r="B11" s="22" t="s">
        <v>941</v>
      </c>
      <c r="C11" s="81" t="s">
        <v>1361</v>
      </c>
      <c r="D11" s="81" t="s">
        <v>1361</v>
      </c>
      <c r="E11" s="96" t="s">
        <v>839</v>
      </c>
    </row>
    <row r="12" spans="1:5" ht="31.5" customHeight="1">
      <c r="A12" s="25"/>
      <c r="B12" s="145" t="s">
        <v>724</v>
      </c>
      <c r="C12" s="82" t="s">
        <v>1361</v>
      </c>
      <c r="D12" s="82" t="s">
        <v>1361</v>
      </c>
      <c r="E12" s="80" t="s">
        <v>839</v>
      </c>
    </row>
    <row r="13" spans="1:5" ht="35.25" customHeight="1">
      <c r="A13" s="568" t="s">
        <v>934</v>
      </c>
      <c r="B13" s="568"/>
      <c r="C13" s="568"/>
      <c r="D13" s="568"/>
      <c r="E13" s="568"/>
    </row>
    <row r="14" spans="1:6" ht="39">
      <c r="A14" s="20" t="s">
        <v>913</v>
      </c>
      <c r="B14" s="20" t="s">
        <v>915</v>
      </c>
      <c r="C14" s="21" t="s">
        <v>722</v>
      </c>
      <c r="D14" s="20" t="s">
        <v>933</v>
      </c>
      <c r="E14" s="27" t="s">
        <v>911</v>
      </c>
      <c r="F14" s="30"/>
    </row>
    <row r="15" spans="1:6" ht="26.25">
      <c r="A15" s="28" t="s">
        <v>916</v>
      </c>
      <c r="B15" s="22" t="s">
        <v>940</v>
      </c>
      <c r="C15" s="81" t="s">
        <v>1361</v>
      </c>
      <c r="D15" s="81" t="s">
        <v>1361</v>
      </c>
      <c r="E15" s="24" t="s">
        <v>839</v>
      </c>
      <c r="F15" s="31"/>
    </row>
    <row r="16" spans="1:6" ht="31.5" customHeight="1">
      <c r="A16" s="28" t="s">
        <v>918</v>
      </c>
      <c r="B16" s="22" t="s">
        <v>941</v>
      </c>
      <c r="C16" s="81" t="s">
        <v>1361</v>
      </c>
      <c r="D16" s="81" t="s">
        <v>1361</v>
      </c>
      <c r="E16" s="24" t="s">
        <v>839</v>
      </c>
      <c r="F16" s="31"/>
    </row>
    <row r="17" spans="1:6" ht="39">
      <c r="A17" s="20" t="s">
        <v>935</v>
      </c>
      <c r="B17" s="22" t="s">
        <v>936</v>
      </c>
      <c r="C17" s="81" t="s">
        <v>1361</v>
      </c>
      <c r="D17" s="81" t="s">
        <v>1361</v>
      </c>
      <c r="E17" s="24" t="s">
        <v>839</v>
      </c>
      <c r="F17" s="32"/>
    </row>
    <row r="18" spans="1:6" ht="24.75" customHeight="1">
      <c r="A18" s="25"/>
      <c r="B18" s="29" t="s">
        <v>883</v>
      </c>
      <c r="C18" s="82" t="s">
        <v>1361</v>
      </c>
      <c r="D18" s="82" t="s">
        <v>1361</v>
      </c>
      <c r="E18" s="26" t="s">
        <v>839</v>
      </c>
      <c r="F18" s="33"/>
    </row>
    <row r="19" spans="5:6" ht="12.75">
      <c r="E19" s="34"/>
      <c r="F19" s="35"/>
    </row>
  </sheetData>
  <sheetProtection/>
  <mergeCells count="4">
    <mergeCell ref="A13:E13"/>
    <mergeCell ref="A5:E5"/>
    <mergeCell ref="A6:E6"/>
    <mergeCell ref="A8:E8"/>
  </mergeCells>
  <printOptions horizontalCentered="1"/>
  <pageMargins left="0.7874015748031497" right="0.5511811023622047" top="0.7874015748031497" bottom="0.8267716535433072" header="0.31496062992125984" footer="0.5118110236220472"/>
  <pageSetup firstPageNumber="139" useFirstPageNumber="1" horizontalDpi="600" verticalDpi="600" orientation="landscape"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M3" sqref="M3"/>
    </sheetView>
  </sheetViews>
  <sheetFormatPr defaultColWidth="8.75390625" defaultRowHeight="12.75"/>
  <cols>
    <col min="1" max="1" width="2.75390625" style="101" customWidth="1"/>
    <col min="2" max="2" width="16.25390625" style="101" customWidth="1"/>
    <col min="3" max="3" width="12.50390625" style="101" customWidth="1"/>
    <col min="4" max="4" width="9.50390625" style="101" customWidth="1"/>
    <col min="5" max="5" width="4.50390625" style="101" customWidth="1"/>
    <col min="6" max="6" width="10.00390625" style="101" customWidth="1"/>
    <col min="7" max="7" width="8.50390625" style="101" customWidth="1"/>
    <col min="8" max="8" width="9.25390625" style="101" customWidth="1"/>
    <col min="9" max="9" width="6.00390625" style="101" customWidth="1"/>
    <col min="10" max="10" width="8.50390625" style="101" customWidth="1"/>
    <col min="11" max="11" width="7.50390625" style="101" customWidth="1"/>
    <col min="12" max="12" width="6.50390625" style="101" customWidth="1"/>
    <col min="13" max="14" width="8.50390625" style="101" customWidth="1"/>
    <col min="15" max="15" width="7.75390625" style="101" customWidth="1"/>
    <col min="16" max="16" width="6.50390625" style="101" customWidth="1"/>
    <col min="17" max="17" width="7.00390625" style="101" customWidth="1"/>
    <col min="18" max="18" width="7.50390625" style="101" customWidth="1"/>
    <col min="19" max="19" width="8.75390625" style="101" customWidth="1"/>
    <col min="20" max="20" width="8.50390625" style="101" customWidth="1"/>
    <col min="21" max="16384" width="8.75390625" style="101" customWidth="1"/>
  </cols>
  <sheetData>
    <row r="1" spans="13:14" s="97" customFormat="1" ht="12.75">
      <c r="M1" s="98" t="s">
        <v>229</v>
      </c>
      <c r="N1" s="98"/>
    </row>
    <row r="2" spans="13:14" s="97" customFormat="1" ht="12.75">
      <c r="M2" s="99" t="s">
        <v>912</v>
      </c>
      <c r="N2" s="98"/>
    </row>
    <row r="3" spans="13:14" s="97" customFormat="1" ht="12.75">
      <c r="M3" s="8" t="s">
        <v>1499</v>
      </c>
      <c r="N3" s="98"/>
    </row>
    <row r="4" s="97" customFormat="1" ht="12.75"/>
    <row r="5" spans="1:18" s="97" customFormat="1" ht="12.75">
      <c r="A5" s="572" t="s">
        <v>805</v>
      </c>
      <c r="B5" s="572"/>
      <c r="C5" s="572"/>
      <c r="D5" s="572"/>
      <c r="E5" s="572"/>
      <c r="F5" s="572"/>
      <c r="G5" s="572"/>
      <c r="H5" s="572"/>
      <c r="I5" s="572"/>
      <c r="J5" s="572"/>
      <c r="K5" s="572"/>
      <c r="L5" s="572"/>
      <c r="M5" s="572"/>
      <c r="N5" s="572"/>
      <c r="O5" s="572"/>
      <c r="P5" s="572"/>
      <c r="Q5" s="572"/>
      <c r="R5" s="572"/>
    </row>
    <row r="6" spans="1:18" s="97" customFormat="1" ht="12.75">
      <c r="A6" s="572" t="s">
        <v>723</v>
      </c>
      <c r="B6" s="572"/>
      <c r="C6" s="572"/>
      <c r="D6" s="572"/>
      <c r="E6" s="572"/>
      <c r="F6" s="572"/>
      <c r="G6" s="572"/>
      <c r="H6" s="572"/>
      <c r="I6" s="572"/>
      <c r="J6" s="572"/>
      <c r="K6" s="572"/>
      <c r="L6" s="572"/>
      <c r="M6" s="572"/>
      <c r="N6" s="572"/>
      <c r="O6" s="572"/>
      <c r="P6" s="572"/>
      <c r="Q6" s="572"/>
      <c r="R6" s="572"/>
    </row>
    <row r="7" s="97" customFormat="1" ht="12.75"/>
    <row r="8" s="97" customFormat="1" ht="13.5" thickBot="1">
      <c r="A8" s="100" t="s">
        <v>806</v>
      </c>
    </row>
    <row r="9" spans="1:18" ht="15" customHeight="1">
      <c r="A9" s="573" t="s">
        <v>913</v>
      </c>
      <c r="B9" s="576" t="s">
        <v>1096</v>
      </c>
      <c r="C9" s="579" t="s">
        <v>825</v>
      </c>
      <c r="D9" s="579" t="s">
        <v>826</v>
      </c>
      <c r="E9" s="582" t="s">
        <v>827</v>
      </c>
      <c r="F9" s="579" t="s">
        <v>828</v>
      </c>
      <c r="G9" s="585" t="s">
        <v>829</v>
      </c>
      <c r="H9" s="586"/>
      <c r="I9" s="586"/>
      <c r="J9" s="586"/>
      <c r="K9" s="586"/>
      <c r="L9" s="586"/>
      <c r="M9" s="586"/>
      <c r="N9" s="586"/>
      <c r="O9" s="587"/>
      <c r="P9" s="588" t="s">
        <v>981</v>
      </c>
      <c r="Q9" s="589"/>
      <c r="R9" s="590"/>
    </row>
    <row r="10" spans="1:18" ht="26.25" customHeight="1">
      <c r="A10" s="574"/>
      <c r="B10" s="577"/>
      <c r="C10" s="580"/>
      <c r="D10" s="580"/>
      <c r="E10" s="583"/>
      <c r="F10" s="580"/>
      <c r="G10" s="597" t="s">
        <v>830</v>
      </c>
      <c r="H10" s="577" t="s">
        <v>831</v>
      </c>
      <c r="I10" s="577"/>
      <c r="J10" s="577" t="s">
        <v>982</v>
      </c>
      <c r="K10" s="577"/>
      <c r="L10" s="577"/>
      <c r="M10" s="594" t="s">
        <v>983</v>
      </c>
      <c r="N10" s="595"/>
      <c r="O10" s="596"/>
      <c r="P10" s="591"/>
      <c r="Q10" s="592"/>
      <c r="R10" s="593"/>
    </row>
    <row r="11" spans="1:18" ht="12.75">
      <c r="A11" s="574"/>
      <c r="B11" s="577"/>
      <c r="C11" s="580"/>
      <c r="D11" s="580"/>
      <c r="E11" s="583"/>
      <c r="F11" s="580"/>
      <c r="G11" s="599"/>
      <c r="H11" s="597" t="s">
        <v>832</v>
      </c>
      <c r="I11" s="597" t="s">
        <v>833</v>
      </c>
      <c r="J11" s="597" t="s">
        <v>830</v>
      </c>
      <c r="K11" s="577" t="s">
        <v>834</v>
      </c>
      <c r="L11" s="577"/>
      <c r="M11" s="597" t="s">
        <v>830</v>
      </c>
      <c r="N11" s="577" t="s">
        <v>834</v>
      </c>
      <c r="O11" s="577"/>
      <c r="P11" s="599" t="s">
        <v>830</v>
      </c>
      <c r="Q11" s="591" t="s">
        <v>834</v>
      </c>
      <c r="R11" s="593"/>
    </row>
    <row r="12" spans="1:18" ht="129" thickBot="1">
      <c r="A12" s="575"/>
      <c r="B12" s="578"/>
      <c r="C12" s="581"/>
      <c r="D12" s="581"/>
      <c r="E12" s="584"/>
      <c r="F12" s="581"/>
      <c r="G12" s="598"/>
      <c r="H12" s="598"/>
      <c r="I12" s="598"/>
      <c r="J12" s="598"/>
      <c r="K12" s="102" t="s">
        <v>835</v>
      </c>
      <c r="L12" s="102" t="s">
        <v>833</v>
      </c>
      <c r="M12" s="598"/>
      <c r="N12" s="102" t="s">
        <v>836</v>
      </c>
      <c r="O12" s="102" t="s">
        <v>837</v>
      </c>
      <c r="P12" s="598"/>
      <c r="Q12" s="102" t="s">
        <v>838</v>
      </c>
      <c r="R12" s="103" t="s">
        <v>837</v>
      </c>
    </row>
    <row r="13" spans="1:18" ht="12.75">
      <c r="A13" s="104" t="s">
        <v>839</v>
      </c>
      <c r="B13" s="104" t="s">
        <v>839</v>
      </c>
      <c r="C13" s="104" t="s">
        <v>839</v>
      </c>
      <c r="D13" s="104" t="s">
        <v>839</v>
      </c>
      <c r="E13" s="104" t="s">
        <v>839</v>
      </c>
      <c r="F13" s="104" t="s">
        <v>839</v>
      </c>
      <c r="G13" s="104" t="s">
        <v>839</v>
      </c>
      <c r="H13" s="104" t="s">
        <v>839</v>
      </c>
      <c r="I13" s="104" t="s">
        <v>839</v>
      </c>
      <c r="J13" s="104" t="s">
        <v>839</v>
      </c>
      <c r="K13" s="104" t="s">
        <v>839</v>
      </c>
      <c r="L13" s="104" t="s">
        <v>839</v>
      </c>
      <c r="M13" s="104" t="s">
        <v>839</v>
      </c>
      <c r="N13" s="104" t="s">
        <v>839</v>
      </c>
      <c r="O13" s="104" t="s">
        <v>839</v>
      </c>
      <c r="P13" s="104" t="s">
        <v>839</v>
      </c>
      <c r="Q13" s="104" t="s">
        <v>839</v>
      </c>
      <c r="R13" s="104" t="s">
        <v>839</v>
      </c>
    </row>
    <row r="14" spans="1:18" ht="12.75">
      <c r="A14" s="105"/>
      <c r="B14" s="106"/>
      <c r="C14" s="105"/>
      <c r="D14" s="105"/>
      <c r="E14" s="105"/>
      <c r="F14" s="105"/>
      <c r="G14" s="105"/>
      <c r="H14" s="105"/>
      <c r="I14" s="105"/>
      <c r="J14" s="105"/>
      <c r="K14" s="105"/>
      <c r="L14" s="105"/>
      <c r="M14" s="105"/>
      <c r="N14" s="105"/>
      <c r="O14" s="105"/>
      <c r="P14" s="105"/>
      <c r="Q14" s="105"/>
      <c r="R14" s="105"/>
    </row>
    <row r="15" ht="13.5" thickBot="1">
      <c r="A15" s="100" t="s">
        <v>840</v>
      </c>
    </row>
    <row r="16" spans="1:18" ht="12.75">
      <c r="A16" s="573" t="s">
        <v>913</v>
      </c>
      <c r="B16" s="576" t="s">
        <v>1096</v>
      </c>
      <c r="C16" s="579" t="s">
        <v>825</v>
      </c>
      <c r="D16" s="579" t="s">
        <v>826</v>
      </c>
      <c r="E16" s="582" t="s">
        <v>827</v>
      </c>
      <c r="F16" s="579" t="s">
        <v>828</v>
      </c>
      <c r="G16" s="585" t="s">
        <v>829</v>
      </c>
      <c r="H16" s="586"/>
      <c r="I16" s="586"/>
      <c r="J16" s="586"/>
      <c r="K16" s="586"/>
      <c r="L16" s="586"/>
      <c r="M16" s="586"/>
      <c r="N16" s="586"/>
      <c r="O16" s="587"/>
      <c r="P16" s="588" t="s">
        <v>981</v>
      </c>
      <c r="Q16" s="589"/>
      <c r="R16" s="590"/>
    </row>
    <row r="17" spans="1:18" ht="26.25" customHeight="1">
      <c r="A17" s="574"/>
      <c r="B17" s="577"/>
      <c r="C17" s="580"/>
      <c r="D17" s="580"/>
      <c r="E17" s="583"/>
      <c r="F17" s="580"/>
      <c r="G17" s="597" t="s">
        <v>830</v>
      </c>
      <c r="H17" s="577" t="s">
        <v>831</v>
      </c>
      <c r="I17" s="577"/>
      <c r="J17" s="577" t="s">
        <v>982</v>
      </c>
      <c r="K17" s="577"/>
      <c r="L17" s="577"/>
      <c r="M17" s="594" t="s">
        <v>983</v>
      </c>
      <c r="N17" s="595"/>
      <c r="O17" s="596"/>
      <c r="P17" s="591"/>
      <c r="Q17" s="592"/>
      <c r="R17" s="593"/>
    </row>
    <row r="18" spans="1:18" ht="12.75">
      <c r="A18" s="574"/>
      <c r="B18" s="577"/>
      <c r="C18" s="580"/>
      <c r="D18" s="580"/>
      <c r="E18" s="583"/>
      <c r="F18" s="580"/>
      <c r="G18" s="599"/>
      <c r="H18" s="597" t="s">
        <v>832</v>
      </c>
      <c r="I18" s="597" t="s">
        <v>833</v>
      </c>
      <c r="J18" s="597" t="s">
        <v>830</v>
      </c>
      <c r="K18" s="577" t="s">
        <v>834</v>
      </c>
      <c r="L18" s="577"/>
      <c r="M18" s="597" t="s">
        <v>830</v>
      </c>
      <c r="N18" s="577" t="s">
        <v>834</v>
      </c>
      <c r="O18" s="577"/>
      <c r="P18" s="599" t="s">
        <v>830</v>
      </c>
      <c r="Q18" s="591" t="s">
        <v>834</v>
      </c>
      <c r="R18" s="593"/>
    </row>
    <row r="19" spans="1:18" ht="129" thickBot="1">
      <c r="A19" s="575"/>
      <c r="B19" s="578"/>
      <c r="C19" s="581"/>
      <c r="D19" s="581"/>
      <c r="E19" s="584"/>
      <c r="F19" s="581"/>
      <c r="G19" s="598"/>
      <c r="H19" s="598"/>
      <c r="I19" s="598"/>
      <c r="J19" s="598"/>
      <c r="K19" s="102" t="s">
        <v>835</v>
      </c>
      <c r="L19" s="102" t="s">
        <v>833</v>
      </c>
      <c r="M19" s="598"/>
      <c r="N19" s="102" t="s">
        <v>836</v>
      </c>
      <c r="O19" s="102" t="s">
        <v>837</v>
      </c>
      <c r="P19" s="598"/>
      <c r="Q19" s="102" t="s">
        <v>838</v>
      </c>
      <c r="R19" s="103" t="s">
        <v>837</v>
      </c>
    </row>
    <row r="20" spans="1:18" ht="12.75">
      <c r="A20" s="107">
        <v>1</v>
      </c>
      <c r="B20" s="108" t="s">
        <v>841</v>
      </c>
      <c r="C20" s="108" t="s">
        <v>841</v>
      </c>
      <c r="D20" s="109" t="s">
        <v>841</v>
      </c>
      <c r="E20" s="107" t="s">
        <v>841</v>
      </c>
      <c r="F20" s="110" t="s">
        <v>841</v>
      </c>
      <c r="G20" s="111" t="s">
        <v>841</v>
      </c>
      <c r="H20" s="109" t="s">
        <v>841</v>
      </c>
      <c r="I20" s="109" t="s">
        <v>841</v>
      </c>
      <c r="J20" s="111" t="s">
        <v>841</v>
      </c>
      <c r="K20" s="109" t="s">
        <v>841</v>
      </c>
      <c r="L20" s="109" t="s">
        <v>841</v>
      </c>
      <c r="M20" s="111" t="s">
        <v>841</v>
      </c>
      <c r="N20" s="109" t="s">
        <v>841</v>
      </c>
      <c r="O20" s="109" t="s">
        <v>841</v>
      </c>
      <c r="P20" s="111" t="s">
        <v>841</v>
      </c>
      <c r="Q20" s="111" t="s">
        <v>841</v>
      </c>
      <c r="R20" s="111" t="s">
        <v>841</v>
      </c>
    </row>
    <row r="21" spans="1:18" ht="12.75">
      <c r="A21" s="112"/>
      <c r="B21" s="113" t="s">
        <v>842</v>
      </c>
      <c r="C21" s="112"/>
      <c r="D21" s="114">
        <f>SUM(D20:D20)</f>
        <v>0</v>
      </c>
      <c r="E21" s="112"/>
      <c r="F21" s="112"/>
      <c r="G21" s="114">
        <f aca="true" t="shared" si="0" ref="G21:R21">SUM(G20:G20)</f>
        <v>0</v>
      </c>
      <c r="H21" s="114">
        <f t="shared" si="0"/>
        <v>0</v>
      </c>
      <c r="I21" s="114">
        <f t="shared" si="0"/>
        <v>0</v>
      </c>
      <c r="J21" s="114">
        <f t="shared" si="0"/>
        <v>0</v>
      </c>
      <c r="K21" s="114">
        <f t="shared" si="0"/>
        <v>0</v>
      </c>
      <c r="L21" s="114">
        <f t="shared" si="0"/>
        <v>0</v>
      </c>
      <c r="M21" s="114">
        <f t="shared" si="0"/>
        <v>0</v>
      </c>
      <c r="N21" s="114">
        <f t="shared" si="0"/>
        <v>0</v>
      </c>
      <c r="O21" s="114">
        <f t="shared" si="0"/>
        <v>0</v>
      </c>
      <c r="P21" s="114">
        <f t="shared" si="0"/>
        <v>0</v>
      </c>
      <c r="Q21" s="114">
        <f t="shared" si="0"/>
        <v>0</v>
      </c>
      <c r="R21" s="114">
        <f t="shared" si="0"/>
        <v>0</v>
      </c>
    </row>
    <row r="22" spans="1:18" ht="15">
      <c r="A22" s="600"/>
      <c r="B22" s="600"/>
      <c r="C22" s="600"/>
      <c r="D22" s="600"/>
      <c r="E22" s="600"/>
      <c r="F22" s="600"/>
      <c r="G22" s="600"/>
      <c r="H22" s="600"/>
      <c r="I22" s="600"/>
      <c r="J22" s="600"/>
      <c r="K22" s="600"/>
      <c r="L22" s="600"/>
      <c r="M22" s="600"/>
      <c r="N22" s="600"/>
      <c r="O22" s="600"/>
      <c r="P22" s="600"/>
      <c r="Q22" s="600"/>
      <c r="R22" s="600"/>
    </row>
  </sheetData>
  <sheetProtection/>
  <mergeCells count="43">
    <mergeCell ref="P11:P12"/>
    <mergeCell ref="P18:P19"/>
    <mergeCell ref="H18:H19"/>
    <mergeCell ref="I18:I19"/>
    <mergeCell ref="J18:J19"/>
    <mergeCell ref="K18:L18"/>
    <mergeCell ref="Q18:R18"/>
    <mergeCell ref="A22:R22"/>
    <mergeCell ref="G17:G19"/>
    <mergeCell ref="H17:I17"/>
    <mergeCell ref="J17:L17"/>
    <mergeCell ref="M17:O17"/>
    <mergeCell ref="M18:M19"/>
    <mergeCell ref="N18:O18"/>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140" useFirstPageNumber="1" fitToHeight="1" fitToWidth="1" horizontalDpi="600" verticalDpi="600" orientation="landscape" paperSize="9" scale="85"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32"/>
  <sheetViews>
    <sheetView tabSelected="1" zoomScalePageLayoutView="0" workbookViewId="0" topLeftCell="B1">
      <selection activeCell="F32" sqref="F32"/>
    </sheetView>
  </sheetViews>
  <sheetFormatPr defaultColWidth="8.75390625" defaultRowHeight="12.75"/>
  <cols>
    <col min="1" max="1" width="4.50390625" style="116" customWidth="1"/>
    <col min="2" max="2" width="28.00390625" style="116" customWidth="1"/>
    <col min="3" max="3" width="14.00390625" style="116" customWidth="1"/>
    <col min="4" max="4" width="11.50390625" style="116" customWidth="1"/>
    <col min="5" max="5" width="4.50390625" style="116" customWidth="1"/>
    <col min="6" max="6" width="8.50390625" style="116" customWidth="1"/>
    <col min="7" max="7" width="9.00390625" style="116" customWidth="1"/>
    <col min="8" max="8" width="9.50390625" style="116" customWidth="1"/>
    <col min="9" max="9" width="7.50390625" style="116" customWidth="1"/>
    <col min="10" max="10" width="8.50390625" style="116" customWidth="1"/>
    <col min="11" max="11" width="9.50390625" style="116" customWidth="1"/>
    <col min="12" max="12" width="7.50390625" style="116" customWidth="1"/>
    <col min="13" max="13" width="9.75390625" style="116" customWidth="1"/>
    <col min="14" max="14" width="8.50390625" style="116" customWidth="1"/>
    <col min="15" max="15" width="7.50390625" style="116" customWidth="1"/>
    <col min="16" max="16" width="9.25390625" style="116" customWidth="1"/>
    <col min="17" max="17" width="8.25390625" style="116" customWidth="1"/>
    <col min="18" max="18" width="8.50390625" style="116" customWidth="1"/>
    <col min="19" max="16384" width="8.75390625" style="116" customWidth="1"/>
  </cols>
  <sheetData>
    <row r="1" spans="1:18" ht="14.25" thickBot="1">
      <c r="A1" s="115" t="s">
        <v>843</v>
      </c>
      <c r="B1" s="101"/>
      <c r="C1" s="101"/>
      <c r="D1" s="101"/>
      <c r="E1" s="101"/>
      <c r="F1" s="101"/>
      <c r="G1" s="101"/>
      <c r="H1" s="101"/>
      <c r="I1" s="101"/>
      <c r="J1" s="101"/>
      <c r="K1" s="101"/>
      <c r="L1" s="101"/>
      <c r="M1" s="101"/>
      <c r="N1" s="101"/>
      <c r="O1" s="101"/>
      <c r="P1" s="101"/>
      <c r="Q1" s="101"/>
      <c r="R1" s="101"/>
    </row>
    <row r="2" spans="1:18" ht="12.75" customHeight="1">
      <c r="A2" s="573" t="s">
        <v>913</v>
      </c>
      <c r="B2" s="576" t="s">
        <v>1096</v>
      </c>
      <c r="C2" s="579" t="s">
        <v>825</v>
      </c>
      <c r="D2" s="601" t="s">
        <v>826</v>
      </c>
      <c r="E2" s="582" t="s">
        <v>173</v>
      </c>
      <c r="F2" s="601" t="s">
        <v>828</v>
      </c>
      <c r="G2" s="585" t="s">
        <v>829</v>
      </c>
      <c r="H2" s="586"/>
      <c r="I2" s="586"/>
      <c r="J2" s="586"/>
      <c r="K2" s="586"/>
      <c r="L2" s="586"/>
      <c r="M2" s="586"/>
      <c r="N2" s="586"/>
      <c r="O2" s="587"/>
      <c r="P2" s="588" t="s">
        <v>981</v>
      </c>
      <c r="Q2" s="589"/>
      <c r="R2" s="590"/>
    </row>
    <row r="3" spans="1:18" ht="24.75" customHeight="1">
      <c r="A3" s="574"/>
      <c r="B3" s="577"/>
      <c r="C3" s="580"/>
      <c r="D3" s="599"/>
      <c r="E3" s="583"/>
      <c r="F3" s="599"/>
      <c r="G3" s="597" t="s">
        <v>830</v>
      </c>
      <c r="H3" s="577" t="s">
        <v>831</v>
      </c>
      <c r="I3" s="577"/>
      <c r="J3" s="577" t="s">
        <v>982</v>
      </c>
      <c r="K3" s="577"/>
      <c r="L3" s="577"/>
      <c r="M3" s="594" t="s">
        <v>983</v>
      </c>
      <c r="N3" s="595"/>
      <c r="O3" s="596"/>
      <c r="P3" s="591"/>
      <c r="Q3" s="592"/>
      <c r="R3" s="593"/>
    </row>
    <row r="4" spans="1:18" ht="12.75" customHeight="1">
      <c r="A4" s="574"/>
      <c r="B4" s="577"/>
      <c r="C4" s="580"/>
      <c r="D4" s="599"/>
      <c r="E4" s="583"/>
      <c r="F4" s="599"/>
      <c r="G4" s="599"/>
      <c r="H4" s="597" t="s">
        <v>832</v>
      </c>
      <c r="I4" s="597" t="s">
        <v>833</v>
      </c>
      <c r="J4" s="597" t="s">
        <v>830</v>
      </c>
      <c r="K4" s="577" t="s">
        <v>834</v>
      </c>
      <c r="L4" s="577"/>
      <c r="M4" s="597" t="s">
        <v>830</v>
      </c>
      <c r="N4" s="577" t="s">
        <v>834</v>
      </c>
      <c r="O4" s="577"/>
      <c r="P4" s="599" t="s">
        <v>830</v>
      </c>
      <c r="Q4" s="591" t="s">
        <v>834</v>
      </c>
      <c r="R4" s="593"/>
    </row>
    <row r="5" spans="1:18" ht="129" thickBot="1">
      <c r="A5" s="575"/>
      <c r="B5" s="578"/>
      <c r="C5" s="581"/>
      <c r="D5" s="598"/>
      <c r="E5" s="584"/>
      <c r="F5" s="598"/>
      <c r="G5" s="598"/>
      <c r="H5" s="598"/>
      <c r="I5" s="598"/>
      <c r="J5" s="598"/>
      <c r="K5" s="102" t="s">
        <v>835</v>
      </c>
      <c r="L5" s="102" t="s">
        <v>833</v>
      </c>
      <c r="M5" s="598"/>
      <c r="N5" s="102" t="s">
        <v>836</v>
      </c>
      <c r="O5" s="102" t="s">
        <v>837</v>
      </c>
      <c r="P5" s="598"/>
      <c r="Q5" s="102" t="s">
        <v>838</v>
      </c>
      <c r="R5" s="103" t="s">
        <v>837</v>
      </c>
    </row>
    <row r="6" spans="1:18" ht="26.25">
      <c r="A6" s="107">
        <v>1</v>
      </c>
      <c r="B6" s="108" t="s">
        <v>533</v>
      </c>
      <c r="C6" s="212" t="s">
        <v>534</v>
      </c>
      <c r="D6" s="109">
        <v>60000</v>
      </c>
      <c r="E6" s="107">
        <v>20</v>
      </c>
      <c r="F6" s="117" t="s">
        <v>1210</v>
      </c>
      <c r="G6" s="109">
        <f aca="true" t="shared" si="0" ref="G6:G17">SUM(H6+I6)</f>
        <v>16719</v>
      </c>
      <c r="H6" s="109">
        <v>15000</v>
      </c>
      <c r="I6" s="109">
        <v>1719</v>
      </c>
      <c r="J6" s="109">
        <f aca="true" t="shared" si="1" ref="J6:J17">K6+L6</f>
        <v>16719</v>
      </c>
      <c r="K6" s="109">
        <v>15000</v>
      </c>
      <c r="L6" s="109">
        <v>1719</v>
      </c>
      <c r="M6" s="109">
        <f aca="true" t="shared" si="2" ref="M6:M17">SUM(N6+O6)</f>
        <v>16719</v>
      </c>
      <c r="N6" s="109">
        <v>15000</v>
      </c>
      <c r="O6" s="109">
        <v>1719</v>
      </c>
      <c r="P6" s="111">
        <f aca="true" t="shared" si="3" ref="P6:P17">SUM(Q6+R6)</f>
        <v>0</v>
      </c>
      <c r="Q6" s="111">
        <f>H6-N6</f>
        <v>0</v>
      </c>
      <c r="R6" s="111">
        <f>I6-O6</f>
        <v>0</v>
      </c>
    </row>
    <row r="7" spans="1:18" ht="39">
      <c r="A7" s="107">
        <v>2</v>
      </c>
      <c r="B7" s="108" t="s">
        <v>844</v>
      </c>
      <c r="C7" s="212" t="s">
        <v>1211</v>
      </c>
      <c r="D7" s="109">
        <v>17000</v>
      </c>
      <c r="E7" s="107">
        <v>16</v>
      </c>
      <c r="F7" s="117" t="s">
        <v>216</v>
      </c>
      <c r="G7" s="109">
        <f t="shared" si="0"/>
        <v>6868</v>
      </c>
      <c r="H7" s="109">
        <v>6580</v>
      </c>
      <c r="I7" s="109">
        <v>288</v>
      </c>
      <c r="J7" s="109">
        <f t="shared" si="1"/>
        <v>6868</v>
      </c>
      <c r="K7" s="109">
        <v>6580</v>
      </c>
      <c r="L7" s="109">
        <v>288</v>
      </c>
      <c r="M7" s="109">
        <f t="shared" si="2"/>
        <v>6868</v>
      </c>
      <c r="N7" s="109">
        <v>6580</v>
      </c>
      <c r="O7" s="109">
        <v>288</v>
      </c>
      <c r="P7" s="111">
        <f t="shared" si="3"/>
        <v>0</v>
      </c>
      <c r="Q7" s="111">
        <f>H7-N7</f>
        <v>0</v>
      </c>
      <c r="R7" s="111">
        <f>I7-O7</f>
        <v>0</v>
      </c>
    </row>
    <row r="8" spans="1:18" ht="39">
      <c r="A8" s="107">
        <v>3</v>
      </c>
      <c r="B8" s="108" t="s">
        <v>845</v>
      </c>
      <c r="C8" s="212" t="s">
        <v>217</v>
      </c>
      <c r="D8" s="109">
        <v>30000</v>
      </c>
      <c r="E8" s="107">
        <v>16</v>
      </c>
      <c r="F8" s="117" t="s">
        <v>218</v>
      </c>
      <c r="G8" s="109">
        <f t="shared" si="0"/>
        <v>30998</v>
      </c>
      <c r="H8" s="109">
        <v>30000</v>
      </c>
      <c r="I8" s="109">
        <v>998</v>
      </c>
      <c r="J8" s="109">
        <f t="shared" si="1"/>
        <v>30998</v>
      </c>
      <c r="K8" s="109">
        <v>30000</v>
      </c>
      <c r="L8" s="109">
        <v>998</v>
      </c>
      <c r="M8" s="109">
        <f t="shared" si="2"/>
        <v>30998</v>
      </c>
      <c r="N8" s="109">
        <v>30000</v>
      </c>
      <c r="O8" s="109">
        <v>998</v>
      </c>
      <c r="P8" s="111">
        <f t="shared" si="3"/>
        <v>0</v>
      </c>
      <c r="Q8" s="111">
        <f aca="true" t="shared" si="4" ref="Q8:R17">H8-N8</f>
        <v>0</v>
      </c>
      <c r="R8" s="111">
        <f t="shared" si="4"/>
        <v>0</v>
      </c>
    </row>
    <row r="9" spans="1:18" ht="39">
      <c r="A9" s="107">
        <v>4</v>
      </c>
      <c r="B9" s="108" t="s">
        <v>844</v>
      </c>
      <c r="C9" s="212" t="s">
        <v>219</v>
      </c>
      <c r="D9" s="109">
        <v>40000</v>
      </c>
      <c r="E9" s="107">
        <v>16</v>
      </c>
      <c r="F9" s="117" t="s">
        <v>220</v>
      </c>
      <c r="G9" s="109">
        <f t="shared" si="0"/>
        <v>41444</v>
      </c>
      <c r="H9" s="109">
        <v>40000</v>
      </c>
      <c r="I9" s="109">
        <v>1444</v>
      </c>
      <c r="J9" s="109">
        <f t="shared" si="1"/>
        <v>41444</v>
      </c>
      <c r="K9" s="109">
        <v>40000</v>
      </c>
      <c r="L9" s="109">
        <v>1444</v>
      </c>
      <c r="M9" s="109">
        <f t="shared" si="2"/>
        <v>41444</v>
      </c>
      <c r="N9" s="109">
        <v>40000</v>
      </c>
      <c r="O9" s="109">
        <v>1444</v>
      </c>
      <c r="P9" s="111">
        <f t="shared" si="3"/>
        <v>0</v>
      </c>
      <c r="Q9" s="111">
        <f t="shared" si="4"/>
        <v>0</v>
      </c>
      <c r="R9" s="111">
        <f t="shared" si="4"/>
        <v>0</v>
      </c>
    </row>
    <row r="10" spans="1:18" ht="39">
      <c r="A10" s="107">
        <v>5</v>
      </c>
      <c r="B10" s="108" t="s">
        <v>1360</v>
      </c>
      <c r="C10" s="212" t="s">
        <v>221</v>
      </c>
      <c r="D10" s="109">
        <v>30000</v>
      </c>
      <c r="E10" s="107">
        <v>16</v>
      </c>
      <c r="F10" s="117" t="s">
        <v>222</v>
      </c>
      <c r="G10" s="109">
        <f t="shared" si="0"/>
        <v>33524</v>
      </c>
      <c r="H10" s="109">
        <v>30000</v>
      </c>
      <c r="I10" s="109">
        <v>3524</v>
      </c>
      <c r="J10" s="109">
        <f t="shared" si="1"/>
        <v>33524</v>
      </c>
      <c r="K10" s="109">
        <v>30000</v>
      </c>
      <c r="L10" s="109">
        <v>3524</v>
      </c>
      <c r="M10" s="109">
        <f t="shared" si="2"/>
        <v>33524</v>
      </c>
      <c r="N10" s="109">
        <v>30000</v>
      </c>
      <c r="O10" s="109">
        <v>3524</v>
      </c>
      <c r="P10" s="111">
        <f t="shared" si="3"/>
        <v>0</v>
      </c>
      <c r="Q10" s="111">
        <f t="shared" si="4"/>
        <v>0</v>
      </c>
      <c r="R10" s="111">
        <f t="shared" si="4"/>
        <v>0</v>
      </c>
    </row>
    <row r="11" spans="1:18" ht="39">
      <c r="A11" s="107">
        <v>6</v>
      </c>
      <c r="B11" s="108" t="s">
        <v>1360</v>
      </c>
      <c r="C11" s="212" t="s">
        <v>223</v>
      </c>
      <c r="D11" s="109">
        <v>50000</v>
      </c>
      <c r="E11" s="107">
        <v>16</v>
      </c>
      <c r="F11" s="117" t="s">
        <v>224</v>
      </c>
      <c r="G11" s="109">
        <f t="shared" si="0"/>
        <v>62931</v>
      </c>
      <c r="H11" s="109">
        <v>50000</v>
      </c>
      <c r="I11" s="109">
        <v>12931</v>
      </c>
      <c r="J11" s="109">
        <f t="shared" si="1"/>
        <v>42469</v>
      </c>
      <c r="K11" s="109">
        <v>36000</v>
      </c>
      <c r="L11" s="109">
        <v>6469</v>
      </c>
      <c r="M11" s="109">
        <f t="shared" si="2"/>
        <v>42469</v>
      </c>
      <c r="N11" s="109">
        <v>36000</v>
      </c>
      <c r="O11" s="109">
        <v>6469</v>
      </c>
      <c r="P11" s="111">
        <f t="shared" si="3"/>
        <v>20462</v>
      </c>
      <c r="Q11" s="111">
        <f t="shared" si="4"/>
        <v>14000</v>
      </c>
      <c r="R11" s="111">
        <f t="shared" si="4"/>
        <v>6462</v>
      </c>
    </row>
    <row r="12" spans="1:18" ht="39">
      <c r="A12" s="107">
        <v>7</v>
      </c>
      <c r="B12" s="108" t="s">
        <v>844</v>
      </c>
      <c r="C12" s="212" t="s">
        <v>225</v>
      </c>
      <c r="D12" s="109">
        <v>55000</v>
      </c>
      <c r="E12" s="107">
        <v>16</v>
      </c>
      <c r="F12" s="117" t="s">
        <v>226</v>
      </c>
      <c r="G12" s="109">
        <f t="shared" si="0"/>
        <v>59115</v>
      </c>
      <c r="H12" s="109">
        <v>55000</v>
      </c>
      <c r="I12" s="109">
        <v>4115</v>
      </c>
      <c r="J12" s="109">
        <f t="shared" si="1"/>
        <v>59115</v>
      </c>
      <c r="K12" s="109">
        <v>55000</v>
      </c>
      <c r="L12" s="109">
        <v>4115</v>
      </c>
      <c r="M12" s="109">
        <f t="shared" si="2"/>
        <v>59115</v>
      </c>
      <c r="N12" s="109">
        <v>55000</v>
      </c>
      <c r="O12" s="109">
        <v>4115</v>
      </c>
      <c r="P12" s="111">
        <f t="shared" si="3"/>
        <v>0</v>
      </c>
      <c r="Q12" s="111">
        <f t="shared" si="4"/>
        <v>0</v>
      </c>
      <c r="R12" s="111">
        <f t="shared" si="4"/>
        <v>0</v>
      </c>
    </row>
    <row r="13" spans="1:18" ht="39">
      <c r="A13" s="107">
        <v>8</v>
      </c>
      <c r="B13" s="108" t="s">
        <v>1360</v>
      </c>
      <c r="C13" s="212" t="s">
        <v>227</v>
      </c>
      <c r="D13" s="109">
        <v>40000</v>
      </c>
      <c r="E13" s="107">
        <v>16</v>
      </c>
      <c r="F13" s="117" t="s">
        <v>228</v>
      </c>
      <c r="G13" s="109">
        <f t="shared" si="0"/>
        <v>52607</v>
      </c>
      <c r="H13" s="109">
        <v>40000</v>
      </c>
      <c r="I13" s="109">
        <v>12607</v>
      </c>
      <c r="J13" s="109">
        <f t="shared" si="1"/>
        <v>6400</v>
      </c>
      <c r="K13" s="109">
        <v>0</v>
      </c>
      <c r="L13" s="109">
        <v>6400</v>
      </c>
      <c r="M13" s="109">
        <f t="shared" si="2"/>
        <v>6400</v>
      </c>
      <c r="N13" s="109">
        <v>0</v>
      </c>
      <c r="O13" s="109">
        <v>6400</v>
      </c>
      <c r="P13" s="111">
        <f t="shared" si="3"/>
        <v>46207</v>
      </c>
      <c r="Q13" s="111">
        <f t="shared" si="4"/>
        <v>40000</v>
      </c>
      <c r="R13" s="111">
        <f t="shared" si="4"/>
        <v>6207</v>
      </c>
    </row>
    <row r="14" spans="1:18" ht="39">
      <c r="A14" s="107">
        <v>9</v>
      </c>
      <c r="B14" s="108" t="s">
        <v>844</v>
      </c>
      <c r="C14" s="212" t="s">
        <v>984</v>
      </c>
      <c r="D14" s="109">
        <v>60000</v>
      </c>
      <c r="E14" s="107">
        <v>16</v>
      </c>
      <c r="F14" s="117" t="s">
        <v>985</v>
      </c>
      <c r="G14" s="109">
        <f t="shared" si="0"/>
        <v>70442</v>
      </c>
      <c r="H14" s="109">
        <v>60000</v>
      </c>
      <c r="I14" s="109">
        <v>10442</v>
      </c>
      <c r="J14" s="109">
        <f t="shared" si="1"/>
        <v>9694</v>
      </c>
      <c r="K14" s="109">
        <v>1900</v>
      </c>
      <c r="L14" s="109">
        <v>7794</v>
      </c>
      <c r="M14" s="109">
        <f t="shared" si="2"/>
        <v>9694</v>
      </c>
      <c r="N14" s="109">
        <v>1900</v>
      </c>
      <c r="O14" s="109">
        <v>7794</v>
      </c>
      <c r="P14" s="111">
        <f t="shared" si="3"/>
        <v>60748</v>
      </c>
      <c r="Q14" s="111">
        <f t="shared" si="4"/>
        <v>58100</v>
      </c>
      <c r="R14" s="111">
        <f t="shared" si="4"/>
        <v>2648</v>
      </c>
    </row>
    <row r="15" spans="1:18" ht="39">
      <c r="A15" s="107">
        <v>10</v>
      </c>
      <c r="B15" s="108" t="s">
        <v>1360</v>
      </c>
      <c r="C15" s="212" t="s">
        <v>986</v>
      </c>
      <c r="D15" s="109">
        <v>70000</v>
      </c>
      <c r="E15" s="107">
        <v>16</v>
      </c>
      <c r="F15" s="117" t="s">
        <v>987</v>
      </c>
      <c r="G15" s="109">
        <f t="shared" si="0"/>
        <v>92392</v>
      </c>
      <c r="H15" s="109">
        <v>70000</v>
      </c>
      <c r="I15" s="109">
        <v>22392</v>
      </c>
      <c r="J15" s="109">
        <f t="shared" si="1"/>
        <v>8408</v>
      </c>
      <c r="K15" s="109">
        <v>0</v>
      </c>
      <c r="L15" s="109">
        <v>8408</v>
      </c>
      <c r="M15" s="109">
        <f t="shared" si="2"/>
        <v>8408</v>
      </c>
      <c r="N15" s="109">
        <v>0</v>
      </c>
      <c r="O15" s="109">
        <v>8408</v>
      </c>
      <c r="P15" s="111">
        <f t="shared" si="3"/>
        <v>83984</v>
      </c>
      <c r="Q15" s="111">
        <f t="shared" si="4"/>
        <v>70000</v>
      </c>
      <c r="R15" s="111">
        <f t="shared" si="4"/>
        <v>13984</v>
      </c>
    </row>
    <row r="16" spans="1:18" ht="39">
      <c r="A16" s="107">
        <v>11</v>
      </c>
      <c r="B16" s="108" t="s">
        <v>844</v>
      </c>
      <c r="C16" s="212" t="s">
        <v>988</v>
      </c>
      <c r="D16" s="109">
        <v>20000</v>
      </c>
      <c r="E16" s="107">
        <v>16</v>
      </c>
      <c r="F16" s="117" t="s">
        <v>989</v>
      </c>
      <c r="G16" s="109">
        <f t="shared" si="0"/>
        <v>23200</v>
      </c>
      <c r="H16" s="109">
        <v>20000</v>
      </c>
      <c r="I16" s="109">
        <v>3200</v>
      </c>
      <c r="J16" s="109">
        <f t="shared" si="1"/>
        <v>2016</v>
      </c>
      <c r="K16" s="109">
        <v>0</v>
      </c>
      <c r="L16" s="109">
        <v>2016</v>
      </c>
      <c r="M16" s="109">
        <f t="shared" si="2"/>
        <v>2016</v>
      </c>
      <c r="N16" s="109">
        <v>0</v>
      </c>
      <c r="O16" s="109">
        <v>2016</v>
      </c>
      <c r="P16" s="111">
        <f t="shared" si="3"/>
        <v>21184</v>
      </c>
      <c r="Q16" s="111">
        <f t="shared" si="4"/>
        <v>20000</v>
      </c>
      <c r="R16" s="111">
        <f t="shared" si="4"/>
        <v>1184</v>
      </c>
    </row>
    <row r="17" spans="1:18" ht="52.5">
      <c r="A17" s="107">
        <v>12</v>
      </c>
      <c r="B17" s="108" t="s">
        <v>990</v>
      </c>
      <c r="C17" s="212" t="s">
        <v>991</v>
      </c>
      <c r="D17" s="109">
        <v>15000</v>
      </c>
      <c r="E17" s="107">
        <v>16</v>
      </c>
      <c r="F17" s="117" t="s">
        <v>992</v>
      </c>
      <c r="G17" s="109">
        <f t="shared" si="0"/>
        <v>17400</v>
      </c>
      <c r="H17" s="109">
        <v>15000</v>
      </c>
      <c r="I17" s="109">
        <v>2400</v>
      </c>
      <c r="J17" s="109">
        <f t="shared" si="1"/>
        <v>1236</v>
      </c>
      <c r="K17" s="109">
        <v>0</v>
      </c>
      <c r="L17" s="109">
        <v>1236</v>
      </c>
      <c r="M17" s="109">
        <f t="shared" si="2"/>
        <v>1236</v>
      </c>
      <c r="N17" s="109">
        <v>0</v>
      </c>
      <c r="O17" s="109">
        <v>1236</v>
      </c>
      <c r="P17" s="111">
        <f t="shared" si="3"/>
        <v>16164</v>
      </c>
      <c r="Q17" s="111">
        <f t="shared" si="4"/>
        <v>15000</v>
      </c>
      <c r="R17" s="111">
        <f t="shared" si="4"/>
        <v>1164</v>
      </c>
    </row>
    <row r="18" spans="1:18" ht="12.75">
      <c r="A18" s="118"/>
      <c r="B18" s="118"/>
      <c r="C18" s="212"/>
      <c r="D18" s="119">
        <f>SUM(D6:D17)</f>
        <v>487000</v>
      </c>
      <c r="E18" s="119"/>
      <c r="F18" s="119"/>
      <c r="G18" s="119">
        <f>SUM(G6:G13)</f>
        <v>304206</v>
      </c>
      <c r="H18" s="119">
        <f>SUM(H6:H17)</f>
        <v>431580</v>
      </c>
      <c r="I18" s="119">
        <f>SUM(I6:I17)</f>
        <v>76060</v>
      </c>
      <c r="J18" s="119">
        <f>SUM(J6:J13)</f>
        <v>237537</v>
      </c>
      <c r="K18" s="119">
        <f>SUM(K6:K17)</f>
        <v>214480</v>
      </c>
      <c r="L18" s="119">
        <f>SUM(L6:L17)</f>
        <v>44411</v>
      </c>
      <c r="M18" s="119">
        <f>SUM(M6:M13)</f>
        <v>237537</v>
      </c>
      <c r="N18" s="119">
        <f>SUM(N6:N17)</f>
        <v>214480</v>
      </c>
      <c r="O18" s="119">
        <f>SUM(O6:O17)</f>
        <v>44411</v>
      </c>
      <c r="P18" s="119">
        <f>SUM(P6:P17)</f>
        <v>248749</v>
      </c>
      <c r="Q18" s="119">
        <f>SUM(Q6:Q17)</f>
        <v>217100</v>
      </c>
      <c r="R18" s="119">
        <f>SUM(R6:R17)</f>
        <v>31649</v>
      </c>
    </row>
    <row r="19" spans="1:18" s="326" customFormat="1" ht="12.75">
      <c r="A19" s="320"/>
      <c r="B19" s="321"/>
      <c r="C19" s="322"/>
      <c r="D19" s="323"/>
      <c r="E19" s="320"/>
      <c r="F19" s="324"/>
      <c r="G19" s="323"/>
      <c r="H19" s="323"/>
      <c r="I19" s="323"/>
      <c r="J19" s="323"/>
      <c r="K19" s="323"/>
      <c r="L19" s="323"/>
      <c r="M19" s="323"/>
      <c r="N19" s="323"/>
      <c r="O19" s="323"/>
      <c r="P19" s="325"/>
      <c r="Q19" s="325"/>
      <c r="R19" s="325"/>
    </row>
    <row r="20" spans="1:18" s="326" customFormat="1" ht="12.75">
      <c r="A20" s="320"/>
      <c r="B20" s="321"/>
      <c r="C20" s="322"/>
      <c r="D20" s="323"/>
      <c r="E20" s="320"/>
      <c r="F20" s="324"/>
      <c r="G20" s="323"/>
      <c r="H20" s="323"/>
      <c r="I20" s="323"/>
      <c r="J20" s="323"/>
      <c r="K20" s="323"/>
      <c r="L20" s="323"/>
      <c r="M20" s="323"/>
      <c r="N20" s="323"/>
      <c r="O20" s="323"/>
      <c r="P20" s="325"/>
      <c r="Q20" s="325"/>
      <c r="R20" s="325"/>
    </row>
    <row r="21" spans="1:18" s="326" customFormat="1" ht="12.75">
      <c r="A21" s="320"/>
      <c r="B21" s="321"/>
      <c r="C21" s="322"/>
      <c r="D21" s="323"/>
      <c r="E21" s="320"/>
      <c r="F21" s="324"/>
      <c r="G21" s="323"/>
      <c r="H21" s="323"/>
      <c r="I21" s="323"/>
      <c r="J21" s="323"/>
      <c r="K21" s="323"/>
      <c r="L21" s="323"/>
      <c r="M21" s="323"/>
      <c r="N21" s="323"/>
      <c r="O21" s="323"/>
      <c r="P21" s="325"/>
      <c r="Q21" s="325"/>
      <c r="R21" s="325"/>
    </row>
    <row r="22" spans="1:18" s="326" customFormat="1" ht="12.75">
      <c r="A22" s="320"/>
      <c r="B22" s="321"/>
      <c r="C22" s="322"/>
      <c r="D22" s="323"/>
      <c r="E22" s="320"/>
      <c r="F22" s="324"/>
      <c r="G22" s="323"/>
      <c r="H22" s="323"/>
      <c r="I22" s="323"/>
      <c r="J22" s="323"/>
      <c r="K22" s="323"/>
      <c r="L22" s="323"/>
      <c r="M22" s="323"/>
      <c r="N22" s="323"/>
      <c r="O22" s="323"/>
      <c r="P22" s="325"/>
      <c r="Q22" s="325"/>
      <c r="R22" s="325"/>
    </row>
    <row r="23" spans="1:18" s="326" customFormat="1" ht="12.75">
      <c r="A23" s="320"/>
      <c r="B23" s="321"/>
      <c r="C23" s="322"/>
      <c r="D23" s="323"/>
      <c r="E23" s="320"/>
      <c r="F23" s="324"/>
      <c r="G23" s="323"/>
      <c r="H23" s="323"/>
      <c r="I23" s="323"/>
      <c r="J23" s="323"/>
      <c r="K23" s="323"/>
      <c r="L23" s="323"/>
      <c r="M23" s="323"/>
      <c r="N23" s="323"/>
      <c r="O23" s="323"/>
      <c r="P23" s="325"/>
      <c r="Q23" s="325"/>
      <c r="R23" s="325"/>
    </row>
    <row r="24" spans="1:18" s="326" customFormat="1" ht="12.75">
      <c r="A24" s="320"/>
      <c r="B24" s="321"/>
      <c r="C24" s="322"/>
      <c r="D24" s="323"/>
      <c r="E24" s="320"/>
      <c r="F24" s="324"/>
      <c r="G24" s="323"/>
      <c r="H24" s="323"/>
      <c r="I24" s="323"/>
      <c r="J24" s="323"/>
      <c r="K24" s="323"/>
      <c r="L24" s="323"/>
      <c r="M24" s="323"/>
      <c r="N24" s="323"/>
      <c r="O24" s="323"/>
      <c r="P24" s="325"/>
      <c r="Q24" s="325"/>
      <c r="R24" s="325"/>
    </row>
    <row r="25" spans="1:18" s="326" customFormat="1" ht="12.75">
      <c r="A25" s="320"/>
      <c r="B25" s="321"/>
      <c r="C25" s="322"/>
      <c r="D25" s="323"/>
      <c r="E25" s="320"/>
      <c r="F25" s="324"/>
      <c r="G25" s="323"/>
      <c r="H25" s="323"/>
      <c r="I25" s="323"/>
      <c r="J25" s="323"/>
      <c r="K25" s="323"/>
      <c r="L25" s="323"/>
      <c r="M25" s="323"/>
      <c r="N25" s="323"/>
      <c r="O25" s="323"/>
      <c r="P25" s="325"/>
      <c r="Q25" s="325"/>
      <c r="R25" s="325"/>
    </row>
    <row r="26" spans="1:18" s="326" customFormat="1" ht="12.75">
      <c r="A26" s="320"/>
      <c r="B26" s="321"/>
      <c r="C26" s="322"/>
      <c r="D26" s="323"/>
      <c r="E26" s="320"/>
      <c r="F26" s="324"/>
      <c r="G26" s="323"/>
      <c r="H26" s="323"/>
      <c r="I26" s="323"/>
      <c r="J26" s="323"/>
      <c r="K26" s="323"/>
      <c r="L26" s="323"/>
      <c r="M26" s="323"/>
      <c r="N26" s="323"/>
      <c r="O26" s="323"/>
      <c r="P26" s="325"/>
      <c r="Q26" s="325"/>
      <c r="R26" s="325"/>
    </row>
    <row r="27" spans="1:18" s="326" customFormat="1" ht="12.75">
      <c r="A27" s="320"/>
      <c r="B27" s="321"/>
      <c r="C27" s="322"/>
      <c r="D27" s="323"/>
      <c r="E27" s="320"/>
      <c r="F27" s="324"/>
      <c r="G27" s="323"/>
      <c r="H27" s="323"/>
      <c r="I27" s="323"/>
      <c r="J27" s="323"/>
      <c r="K27" s="323"/>
      <c r="L27" s="323"/>
      <c r="M27" s="323"/>
      <c r="N27" s="323"/>
      <c r="O27" s="323"/>
      <c r="P27" s="325"/>
      <c r="Q27" s="325"/>
      <c r="R27" s="325"/>
    </row>
    <row r="28" spans="1:18" s="326" customFormat="1" ht="12.75">
      <c r="A28" s="320"/>
      <c r="B28" s="321"/>
      <c r="C28" s="322"/>
      <c r="D28" s="323"/>
      <c r="E28" s="320"/>
      <c r="F28" s="324"/>
      <c r="G28" s="323"/>
      <c r="H28" s="323"/>
      <c r="I28" s="323"/>
      <c r="J28" s="323"/>
      <c r="K28" s="323"/>
      <c r="L28" s="323"/>
      <c r="M28" s="323"/>
      <c r="N28" s="323"/>
      <c r="O28" s="323"/>
      <c r="P28" s="325"/>
      <c r="Q28" s="325"/>
      <c r="R28" s="325"/>
    </row>
    <row r="29" spans="1:18" s="326" customFormat="1" ht="12.75">
      <c r="A29" s="320"/>
      <c r="B29" s="321"/>
      <c r="C29" s="322"/>
      <c r="D29" s="323"/>
      <c r="E29" s="320"/>
      <c r="F29" s="324"/>
      <c r="G29" s="323"/>
      <c r="H29" s="323"/>
      <c r="I29" s="323"/>
      <c r="J29" s="323"/>
      <c r="K29" s="323"/>
      <c r="L29" s="323"/>
      <c r="M29" s="323"/>
      <c r="N29" s="323"/>
      <c r="O29" s="323"/>
      <c r="P29" s="325"/>
      <c r="Q29" s="325"/>
      <c r="R29" s="325"/>
    </row>
    <row r="30" spans="1:18" s="326" customFormat="1" ht="12.75">
      <c r="A30" s="320"/>
      <c r="B30" s="321"/>
      <c r="C30" s="322"/>
      <c r="D30" s="323"/>
      <c r="E30" s="320"/>
      <c r="F30" s="324"/>
      <c r="G30" s="323"/>
      <c r="H30" s="323"/>
      <c r="I30" s="323"/>
      <c r="J30" s="323"/>
      <c r="K30" s="323"/>
      <c r="L30" s="323"/>
      <c r="M30" s="323"/>
      <c r="N30" s="323"/>
      <c r="O30" s="323"/>
      <c r="P30" s="325"/>
      <c r="Q30" s="325"/>
      <c r="R30" s="325"/>
    </row>
    <row r="31" spans="1:18" s="326" customFormat="1" ht="12.75">
      <c r="A31" s="320"/>
      <c r="B31" s="321"/>
      <c r="C31" s="322"/>
      <c r="D31" s="323"/>
      <c r="E31" s="320"/>
      <c r="F31" s="324"/>
      <c r="G31" s="323"/>
      <c r="H31" s="323"/>
      <c r="I31" s="323"/>
      <c r="J31" s="323"/>
      <c r="K31" s="323"/>
      <c r="L31" s="323"/>
      <c r="M31" s="323"/>
      <c r="N31" s="323"/>
      <c r="O31" s="323"/>
      <c r="P31" s="325"/>
      <c r="Q31" s="325"/>
      <c r="R31" s="325"/>
    </row>
    <row r="32" spans="3:18" s="326" customFormat="1" ht="12.75">
      <c r="C32" s="322"/>
      <c r="D32" s="327"/>
      <c r="E32" s="327"/>
      <c r="F32" s="327"/>
      <c r="G32" s="327"/>
      <c r="H32" s="327"/>
      <c r="I32" s="327"/>
      <c r="J32" s="327"/>
      <c r="K32" s="327"/>
      <c r="L32" s="327"/>
      <c r="M32" s="327"/>
      <c r="N32" s="327"/>
      <c r="O32" s="327"/>
      <c r="P32" s="327"/>
      <c r="Q32" s="327"/>
      <c r="R32" s="327"/>
    </row>
    <row r="33" s="326" customFormat="1" ht="12.75"/>
  </sheetData>
  <sheetProtection/>
  <mergeCells count="20">
    <mergeCell ref="G2:O2"/>
    <mergeCell ref="E2:E5"/>
    <mergeCell ref="F2:F5"/>
    <mergeCell ref="P2:R3"/>
    <mergeCell ref="G3:G5"/>
    <mergeCell ref="H3:I3"/>
    <mergeCell ref="J3:L3"/>
    <mergeCell ref="M3:O3"/>
    <mergeCell ref="P4:P5"/>
    <mergeCell ref="Q4:R4"/>
    <mergeCell ref="N4:O4"/>
    <mergeCell ref="K4:L4"/>
    <mergeCell ref="A2:A5"/>
    <mergeCell ref="B2:B5"/>
    <mergeCell ref="C2:C5"/>
    <mergeCell ref="D2:D5"/>
    <mergeCell ref="J4:J5"/>
    <mergeCell ref="H4:H5"/>
    <mergeCell ref="I4:I5"/>
    <mergeCell ref="M4:M5"/>
  </mergeCells>
  <printOptions/>
  <pageMargins left="0.75" right="0.75" top="1" bottom="1" header="0.5" footer="0.5"/>
  <pageSetup firstPageNumber="141" useFirstPageNumber="1" fitToHeight="4" fitToWidth="1" horizontalDpi="600" verticalDpi="600" orientation="landscape" paperSize="9" scale="7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2015-06-16T10:03:23Z</cp:lastPrinted>
  <dcterms:created xsi:type="dcterms:W3CDTF">2002-07-29T05:32:52Z</dcterms:created>
  <dcterms:modified xsi:type="dcterms:W3CDTF">2015-06-23T06:38:15Z</dcterms:modified>
  <cp:category/>
  <cp:version/>
  <cp:contentType/>
  <cp:contentStatus/>
</cp:coreProperties>
</file>